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C:\Users\ewauters\Dropbox\Onderzoek\Financial management, financial, economic &amp; accounting paramaters\ADLO demonstratievoorstel 2015\ENDIFE 3.0\"/>
    </mc:Choice>
  </mc:AlternateContent>
  <bookViews>
    <workbookView xWindow="0" yWindow="0" windowWidth="23040" windowHeight="10476" activeTab="3"/>
  </bookViews>
  <sheets>
    <sheet name="Welkom" sheetId="18" r:id="rId1"/>
    <sheet name="Info" sheetId="9" r:id="rId2"/>
    <sheet name="Invoer" sheetId="19" r:id="rId3"/>
    <sheet name="Resultaat" sheetId="20" r:id="rId4"/>
    <sheet name=" Rekenblad 1" sheetId="2" state="hidden" r:id="rId5"/>
    <sheet name="Rekenblad 2" sheetId="16" state="hidden" r:id="rId6"/>
  </sheets>
  <definedNames>
    <definedName name="Activa">#REF!</definedName>
    <definedName name="Activa_nieuw">#REF!</definedName>
    <definedName name="Aflossingen">#REF!</definedName>
    <definedName name="Aflossingen_nieuw">#REF!</definedName>
    <definedName name="Afschrijvingen">#REF!</definedName>
    <definedName name="Afschrijvingen_nieuw">#REF!</definedName>
    <definedName name="Afzet_vermarkting">#REF!</definedName>
    <definedName name="Afzet_vermarkting_nieuw">#REF!</definedName>
    <definedName name="Algemene_vaste_kosten">#REF!</definedName>
    <definedName name="Algemene_vaste_kosten_nieuw">#REF!</definedName>
    <definedName name="Andere_ontvangsten">#REF!</definedName>
    <definedName name="Andere_ontvangsten_nieuw">#REF!</definedName>
    <definedName name="Betaalde_arbeid">#REF!</definedName>
    <definedName name="Betaalde_arbeid_nieuw">#REF!</definedName>
    <definedName name="Betaalde_pacht">#REF!</definedName>
    <definedName name="Betaalde_pacht_nieuw">#REF!</definedName>
    <definedName name="Betaalde_rente">#REF!</definedName>
    <definedName name="Betaalde_rente_nieuw">#REF!</definedName>
    <definedName name="Bewaring">#REF!</definedName>
    <definedName name="Bewaring_nieuw">#REF!</definedName>
    <definedName name="Cash">#REF!</definedName>
    <definedName name="Cash_nieuw">#REF!</definedName>
    <definedName name="Diverse_variabele_kosten">#REF!</definedName>
    <definedName name="Diverse_variabele_kosten_nieuw">#REF!</definedName>
    <definedName name="Eigen_arbeid">#REF!</definedName>
    <definedName name="Eigen_arbeid_nieuw">#REF!</definedName>
    <definedName name="Eigen_vermogen">#REF!</definedName>
    <definedName name="Eigen_vermogen_nieuw">#REF!</definedName>
    <definedName name="Energie_water">#REF!</definedName>
    <definedName name="Energie_water_nieuw">#REF!</definedName>
    <definedName name="Fictieve_arbeid">#REF!</definedName>
    <definedName name="Fictieve_arbeid_nieuw">#REF!</definedName>
    <definedName name="Fictieve_pacht">#REF!</definedName>
    <definedName name="Fictieve_pacht_nieuw">#REF!</definedName>
    <definedName name="Fictieve_rente">#REF!</definedName>
    <definedName name="Fictieve_rente_nieuw">#REF!</definedName>
    <definedName name="Gebouwen">#REF!</definedName>
    <definedName name="Gebouwen_nieuw">#REF!</definedName>
    <definedName name="Gewasbescherming">#REF!</definedName>
    <definedName name="Gewasbescherming_nieuw">#REF!</definedName>
    <definedName name="Gezinsuitgaven">#REF!</definedName>
    <definedName name="Gezinsuitgaven_nieuw">#REF!</definedName>
    <definedName name="Grond">#REF!</definedName>
    <definedName name="Grond_nieuw">#REF!</definedName>
    <definedName name="Loonwerk_seizoenslonen">#REF!</definedName>
    <definedName name="Loonwerk_seizoenslonen_nieuw">#REF!</definedName>
    <definedName name="Machines">#REF!</definedName>
    <definedName name="Machines_nieuw">#REF!</definedName>
    <definedName name="Meststoffen">#REF!</definedName>
    <definedName name="Meststoffen_nieuw">#REF!</definedName>
    <definedName name="Niet_landbouwinkomen">#REF!</definedName>
    <definedName name="Niet_landbouwinkomen_nieuw">#REF!</definedName>
    <definedName name="Ontvangsten_witloof">#REF!</definedName>
    <definedName name="Ontvangsten_witloof_nieuw">#REF!</definedName>
    <definedName name="Opbrengsten">#REF!</definedName>
    <definedName name="Opbrengsten_nieuw">#REF!</definedName>
    <definedName name="Passiva">#REF!</definedName>
    <definedName name="Passiva_nieuw">#REF!</definedName>
    <definedName name="Schulden_korte_termijn">#REF!</definedName>
    <definedName name="Schulden_korte_termijn_nieuw">#REF!</definedName>
    <definedName name="Schulden_lange_termijn">#REF!</definedName>
    <definedName name="Schulden_lange_termijn_nieuw">#REF!</definedName>
    <definedName name="Totaal_kg_geoogst_witloof">#REF!</definedName>
    <definedName name="Totaal_kg_geoogst_witloof_nieuw">#REF!</definedName>
    <definedName name="Varia">#REF!</definedName>
    <definedName name="Varia_nieuw">#REF!</definedName>
    <definedName name="Variabele_kosten">#REF!</definedName>
    <definedName name="Variabele_kosten_nieuw">#REF!</definedName>
    <definedName name="Vaste_kosten">#REF!</definedName>
    <definedName name="Vaste_kosten_nieuw">#REF!</definedName>
    <definedName name="Verwarming">#REF!</definedName>
    <definedName name="Verwarming_nieuw">#REF!</definedName>
    <definedName name="Voorraden">#REF!</definedName>
    <definedName name="Voorraden_nieuw">#REF!</definedName>
    <definedName name="Voorschotten">#REF!</definedName>
    <definedName name="Voorschotten_nieuw">#REF!</definedName>
    <definedName name="Zaaigoed">#REF!</definedName>
    <definedName name="Zaaigoed_nieuw">#REF!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9" l="1"/>
  <c r="B17" i="19" s="1"/>
  <c r="C13" i="19" l="1"/>
  <c r="D13"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B13" i="19"/>
  <c r="AA16" i="19" l="1"/>
  <c r="Z14" i="19"/>
  <c r="S16" i="19"/>
  <c r="R14" i="19"/>
  <c r="O16" i="19"/>
  <c r="N14" i="19"/>
  <c r="AD16" i="19"/>
  <c r="AC14" i="19"/>
  <c r="Z16" i="19"/>
  <c r="Y14" i="19"/>
  <c r="V16" i="19"/>
  <c r="U14" i="19"/>
  <c r="R16" i="19"/>
  <c r="Q14" i="19"/>
  <c r="N16" i="19"/>
  <c r="M14" i="19"/>
  <c r="W16" i="19"/>
  <c r="V14" i="19"/>
  <c r="Y16" i="19"/>
  <c r="X14" i="19"/>
  <c r="Q16" i="19"/>
  <c r="P14" i="19"/>
  <c r="AE16" i="19"/>
  <c r="AD14" i="19"/>
  <c r="AC16" i="19"/>
  <c r="AB14" i="19"/>
  <c r="U16" i="19"/>
  <c r="T14" i="19"/>
  <c r="AF16" i="19"/>
  <c r="AE14" i="19"/>
  <c r="AB16" i="19"/>
  <c r="AA14" i="19"/>
  <c r="X16" i="19"/>
  <c r="W14" i="19"/>
  <c r="T16" i="19"/>
  <c r="S14" i="19"/>
  <c r="P16" i="19"/>
  <c r="O14" i="19"/>
  <c r="M16" i="19"/>
  <c r="L14" i="19"/>
  <c r="L16" i="19"/>
  <c r="K14" i="19"/>
  <c r="K16" i="19"/>
  <c r="J14" i="19"/>
  <c r="J16" i="19"/>
  <c r="I14" i="19"/>
  <c r="I16" i="19"/>
  <c r="H14" i="19"/>
  <c r="H16" i="19"/>
  <c r="G14" i="19"/>
  <c r="G16" i="19"/>
  <c r="F14" i="19"/>
  <c r="F16" i="19"/>
  <c r="E14" i="19"/>
  <c r="E16" i="19"/>
  <c r="D14" i="19"/>
  <c r="D16" i="19"/>
  <c r="C14" i="19"/>
  <c r="B14" i="19"/>
  <c r="C17" i="19" s="1"/>
  <c r="C16" i="19"/>
  <c r="C5" i="16"/>
  <c r="C6" i="16"/>
  <c r="C7" i="16"/>
  <c r="D17" i="19" l="1"/>
  <c r="E17" i="19" s="1"/>
  <c r="F17" i="19" s="1"/>
  <c r="G17" i="19" s="1"/>
  <c r="H17" i="19" s="1"/>
  <c r="I17" i="19" s="1"/>
  <c r="J17" i="19" s="1"/>
  <c r="K17" i="19" s="1"/>
  <c r="L17" i="19" s="1"/>
  <c r="M17" i="19" s="1"/>
  <c r="N17" i="19" s="1"/>
  <c r="O17" i="19" s="1"/>
  <c r="P17" i="19" s="1"/>
  <c r="Q17" i="19" s="1"/>
  <c r="R17" i="19" s="1"/>
  <c r="S17" i="19" s="1"/>
  <c r="T17" i="19" s="1"/>
  <c r="U17" i="19" s="1"/>
  <c r="V17" i="19" s="1"/>
  <c r="W17" i="19" s="1"/>
  <c r="X17" i="19" s="1"/>
  <c r="Y17" i="19" s="1"/>
  <c r="Z17" i="19" s="1"/>
  <c r="AA17" i="19" s="1"/>
  <c r="AB17" i="19" s="1"/>
  <c r="AC17" i="19" s="1"/>
  <c r="AD17" i="19" s="1"/>
  <c r="AE17" i="19" s="1"/>
  <c r="AF17" i="19" s="1"/>
  <c r="D10" i="20"/>
  <c r="D13" i="20" s="1"/>
  <c r="D3" i="20"/>
  <c r="D6" i="20" s="1"/>
  <c r="H37" i="2"/>
  <c r="D37" i="2"/>
  <c r="C63" i="2"/>
  <c r="C62" i="2"/>
  <c r="I74" i="16" l="1"/>
  <c r="I68" i="16"/>
  <c r="I62" i="16"/>
  <c r="I56" i="16"/>
  <c r="I44" i="16"/>
  <c r="I38" i="16"/>
  <c r="I32" i="16"/>
  <c r="I26" i="16"/>
  <c r="I20" i="16"/>
  <c r="I14" i="16"/>
  <c r="I8" i="16"/>
  <c r="I33" i="16"/>
  <c r="K28" i="16" s="1"/>
  <c r="H15" i="2" l="1"/>
  <c r="I21" i="16" s="1"/>
  <c r="K16" i="16" s="1"/>
  <c r="H13" i="2"/>
  <c r="I9" i="16" s="1"/>
  <c r="K4" i="16" s="1"/>
  <c r="H9" i="2"/>
  <c r="I57" i="16" s="1"/>
  <c r="K30" i="16"/>
  <c r="H25" i="2"/>
  <c r="I69" i="16" s="1"/>
  <c r="H21" i="2"/>
  <c r="I27" i="16" s="1"/>
  <c r="K22" i="16" s="1"/>
  <c r="H27" i="2"/>
  <c r="I75" i="16" s="1"/>
  <c r="H39" i="2"/>
  <c r="I39" i="16" s="1"/>
  <c r="K34" i="16" s="1"/>
  <c r="H29" i="2"/>
  <c r="H31" i="2"/>
  <c r="H17" i="2" l="1"/>
  <c r="I15" i="16" s="1"/>
  <c r="K10" i="16" s="1"/>
  <c r="K52" i="16"/>
  <c r="K54" i="16" s="1"/>
  <c r="K64" i="16"/>
  <c r="K66" i="16" s="1"/>
  <c r="K70" i="16"/>
  <c r="K72" i="16" s="1"/>
  <c r="K36" i="16"/>
  <c r="H19" i="2"/>
  <c r="I63" i="16" s="1"/>
  <c r="K58" i="16" s="1"/>
  <c r="H43" i="2"/>
  <c r="H45" i="2" s="1"/>
  <c r="I51" i="16" s="1"/>
  <c r="H33" i="2"/>
  <c r="D9" i="2"/>
  <c r="D15" i="2" l="1"/>
  <c r="D13" i="2"/>
  <c r="K46" i="16"/>
  <c r="K48" i="16" s="1"/>
  <c r="K60" i="16"/>
  <c r="D25" i="2"/>
  <c r="D39" i="2"/>
  <c r="D31" i="2"/>
  <c r="D21" i="2"/>
  <c r="D29" i="2"/>
  <c r="D27" i="2"/>
  <c r="I45" i="16"/>
  <c r="C61" i="2"/>
  <c r="C60" i="2"/>
  <c r="C59" i="2"/>
  <c r="C58" i="2"/>
  <c r="C57" i="2"/>
  <c r="C56" i="2"/>
  <c r="C55" i="2"/>
  <c r="C53" i="2"/>
  <c r="K40" i="16" l="1"/>
  <c r="K42" i="16" s="1"/>
  <c r="D43" i="2"/>
  <c r="D45" i="2" s="1"/>
  <c r="D19" i="2"/>
  <c r="D33" i="2"/>
  <c r="C54" i="2"/>
  <c r="D17" i="2" l="1"/>
  <c r="C73" i="16"/>
  <c r="C72" i="16"/>
  <c r="C71" i="16"/>
  <c r="G74" i="16"/>
  <c r="C67" i="16"/>
  <c r="C66" i="16"/>
  <c r="C65" i="16"/>
  <c r="G68" i="16"/>
  <c r="G62" i="16"/>
  <c r="C61" i="16" s="1"/>
  <c r="C55" i="16"/>
  <c r="C54" i="16"/>
  <c r="C53" i="16"/>
  <c r="G56" i="16"/>
  <c r="C59" i="16" l="1"/>
  <c r="C60" i="16"/>
  <c r="N62" i="16" s="1"/>
  <c r="C49" i="16"/>
  <c r="C48" i="16"/>
  <c r="C47" i="16"/>
  <c r="G44" i="16"/>
  <c r="C43" i="16" s="1"/>
  <c r="C37" i="16"/>
  <c r="C36" i="16"/>
  <c r="C35" i="16"/>
  <c r="G38" i="16"/>
  <c r="G32" i="16"/>
  <c r="C31" i="16" s="1"/>
  <c r="G26" i="16"/>
  <c r="C25" i="16" s="1"/>
  <c r="C19" i="16"/>
  <c r="C18" i="16"/>
  <c r="C17" i="16"/>
  <c r="G20" i="16"/>
  <c r="G14" i="16"/>
  <c r="C13" i="16" s="1"/>
  <c r="G8" i="16"/>
  <c r="C41" i="16" l="1"/>
  <c r="C42" i="16"/>
  <c r="C24" i="16"/>
  <c r="C23" i="16"/>
  <c r="K18" i="16"/>
  <c r="C29" i="16"/>
  <c r="C30" i="16"/>
  <c r="C11" i="16"/>
  <c r="C12" i="16"/>
  <c r="K12" i="16" s="1"/>
  <c r="D63" i="2"/>
  <c r="D62" i="2"/>
  <c r="D54" i="2"/>
  <c r="D55" i="2"/>
  <c r="D56" i="2"/>
  <c r="D57" i="2"/>
  <c r="D58" i="2"/>
  <c r="D59" i="2"/>
  <c r="D60" i="2"/>
  <c r="D61" i="2"/>
  <c r="D53" i="2"/>
  <c r="K24" i="16" l="1"/>
  <c r="N9" i="16"/>
  <c r="K6" i="16"/>
  <c r="G33" i="16"/>
  <c r="E28" i="16" l="1"/>
  <c r="E30" i="16" s="1"/>
  <c r="G39" i="16"/>
  <c r="G37" i="2"/>
  <c r="E34" i="16" l="1"/>
  <c r="E36" i="16" s="1"/>
  <c r="G39" i="2"/>
  <c r="G9" i="16" l="1"/>
  <c r="E4" i="16" s="1"/>
  <c r="E6" i="16" s="1"/>
  <c r="G75" i="16"/>
  <c r="E70" i="16" l="1"/>
  <c r="E72" i="16" s="1"/>
  <c r="G27" i="16"/>
  <c r="G13" i="2"/>
  <c r="G31" i="2"/>
  <c r="J27" i="2"/>
  <c r="G27" i="2"/>
  <c r="J25" i="2"/>
  <c r="G29" i="2"/>
  <c r="J26" i="2"/>
  <c r="G21" i="2"/>
  <c r="G45" i="16"/>
  <c r="J28" i="2"/>
  <c r="G23" i="2"/>
  <c r="E40" i="16" l="1"/>
  <c r="E42" i="16" s="1"/>
  <c r="E22" i="16"/>
  <c r="E24" i="16" s="1"/>
  <c r="G19" i="2"/>
  <c r="G63" i="16"/>
  <c r="G43" i="2"/>
  <c r="G33" i="2"/>
  <c r="E58" i="16" l="1"/>
  <c r="E60" i="16" s="1"/>
  <c r="G45" i="2"/>
  <c r="G51" i="16"/>
  <c r="G21" i="16"/>
  <c r="G15" i="2"/>
  <c r="E46" i="16" l="1"/>
  <c r="E48" i="16" s="1"/>
  <c r="E16" i="16"/>
  <c r="E18" i="16" s="1"/>
  <c r="G9" i="2"/>
  <c r="G57" i="16"/>
  <c r="G25" i="2"/>
  <c r="G69" i="16"/>
  <c r="E52" i="16" l="1"/>
  <c r="E54" i="16" s="1"/>
  <c r="E64" i="16"/>
  <c r="E66" i="16" s="1"/>
  <c r="G15" i="16"/>
  <c r="G17" i="2"/>
  <c r="E10" i="16" l="1"/>
  <c r="E12" i="16" s="1"/>
</calcChain>
</file>

<file path=xl/comments1.xml><?xml version="1.0" encoding="utf-8"?>
<comments xmlns="http://schemas.openxmlformats.org/spreadsheetml/2006/main">
  <authors>
    <author>Dries Loncke</author>
  </authors>
  <commentList>
    <comment ref="B9" authorId="0" shapeId="0">
      <text>
        <r>
          <rPr>
            <sz val="9"/>
            <color indexed="81"/>
            <rFont val="Tahoma"/>
            <family val="2"/>
          </rPr>
          <t>Deze verhouding meet welk deel van uw bedrijf "nog in eigendom is van de bank". Hoe hoger deze verhouding is, hoe hoger het financieel risico u loopt. Een vuistregel stelt dat een waarde lager dan 60% veilig is.</t>
        </r>
      </text>
    </comment>
    <comment ref="B13" authorId="0" shapeId="0">
      <text>
        <r>
          <rPr>
            <sz val="9"/>
            <color indexed="81"/>
            <rFont val="Tahoma"/>
            <family val="2"/>
          </rPr>
          <t xml:space="preserve">Deze factor is een economische maat voor de netto opbrengst van uw eigen arbeid. Hoe hoger dit getal is, hoe beter uw arbeid economisch gezien rendeert.
</t>
        </r>
      </text>
    </comment>
    <comment ref="B15" authorId="0" shapeId="0">
      <text>
        <r>
          <rPr>
            <sz val="9"/>
            <color indexed="81"/>
            <rFont val="Tahoma"/>
            <family val="2"/>
          </rPr>
          <t xml:space="preserve">Dit meet de economische vergoeding voor alle vermogen (zowel eigen kapitaal als kapitaal van de bank) dat in het bedrijf werd geïnvesteerd. Hoe hoger, hoe beter.
</t>
        </r>
      </text>
    </comment>
    <comment ref="B17" authorId="0" shapeId="0">
      <text>
        <r>
          <rPr>
            <sz val="9"/>
            <color indexed="81"/>
            <rFont val="Tahoma"/>
            <family val="2"/>
          </rPr>
          <t xml:space="preserve">Het rendement van eigen vermogen is een maat voor wat het eigen vermogen dat in het bedrijf is gestopt, heeft opgebracht. Hoe hoger deze waarde is, hoe beter.
</t>
        </r>
      </text>
    </comment>
    <comment ref="B19" authorId="0" shapeId="0">
      <text>
        <r>
          <rPr>
            <sz val="9"/>
            <color indexed="81"/>
            <rFont val="Tahoma"/>
            <family val="2"/>
          </rPr>
          <t>Het percentage van de totale opbrengsten die als 'zuivere winst' kan beschouwd worden. Hoe hoger dit percentage, hoe beter.</t>
        </r>
      </text>
    </comment>
    <comment ref="B21" authorId="0" shapeId="0">
      <text>
        <r>
          <rPr>
            <sz val="9"/>
            <color indexed="81"/>
            <rFont val="Tahoma"/>
            <family val="2"/>
          </rPr>
          <t>Het netto bedrijfsinkomen geeft aan wat de opbrengst is van uw eigen arbeid, eigen grondkapitaal en eigen bedrijfskapitaal. Hier wil u liefst een groot positief getal zien staan.</t>
        </r>
      </text>
    </comment>
    <comment ref="B25" authorId="0" shapeId="0">
      <text>
        <r>
          <rPr>
            <sz val="9"/>
            <color indexed="81"/>
            <rFont val="Tahoma"/>
            <family val="2"/>
          </rPr>
          <t>Dit getal geeft een indicatie van hoe goed uw kapitaalgoederen gebruikt worden, en hoe goed ze dus in staat zijn om opbrengsten te genereren. Hoe hoger de ratio, hoe beter.</t>
        </r>
      </text>
    </comment>
    <comment ref="B27" authorId="0" shapeId="0">
      <text>
        <r>
          <rPr>
            <sz val="9"/>
            <color indexed="81"/>
            <rFont val="Tahoma"/>
            <family val="2"/>
          </rPr>
          <t xml:space="preserve">Het percentage van uw inkomen dat gebruikt wordt om uw kosten te betalen. Hoe lager deze ratio, hoe beter.
</t>
        </r>
      </text>
    </comment>
    <comment ref="B29" authorId="0" shapeId="0">
      <text>
        <r>
          <rPr>
            <sz val="9"/>
            <color indexed="81"/>
            <rFont val="Tahoma"/>
            <family val="2"/>
          </rPr>
          <t>Het percentage van uw inkomen dat gebruikt wordt om uw afschrijvingen te vergoeden. Hoe lager deze ratio, hoe beter.</t>
        </r>
      </text>
    </comment>
    <comment ref="B31" authorId="0" shapeId="0">
      <text>
        <r>
          <rPr>
            <sz val="9"/>
            <color indexed="81"/>
            <rFont val="Tahoma"/>
            <family val="2"/>
          </rPr>
          <t xml:space="preserve">Het percentage van uw inkomen dat gebruikt wordt om de rente op geleend kapitaal te vergoeden. Hoe lager deze ratio, hoe beter.
</t>
        </r>
      </text>
    </comment>
    <comment ref="B33" authorId="0" shapeId="0">
      <text>
        <r>
          <rPr>
            <sz val="9"/>
            <color indexed="81"/>
            <rFont val="Tahoma"/>
            <family val="2"/>
          </rPr>
          <t xml:space="preserve">Het percentage van al uw opbrengsten dat overblijft nadat alle kosten, behalve uw eigen arbeid, zijn vergoed. Hoe hoger deze ratio, hoe beter.
</t>
        </r>
      </text>
    </comment>
    <comment ref="B37" authorId="0" shapeId="0">
      <text>
        <r>
          <rPr>
            <sz val="9"/>
            <color indexed="81"/>
            <rFont val="Tahoma"/>
            <family val="2"/>
          </rPr>
          <t xml:space="preserve">De vlottende marge geeft aan hoeveel kasstroom u tekort of op overschot heeft op korte termijn in vergelijking met de schulden op korte termijn. Een hoger positief getal is hier gewenst.
</t>
        </r>
      </text>
    </comment>
    <comment ref="B39" authorId="0" shapeId="0">
      <text>
        <r>
          <rPr>
            <sz val="9"/>
            <color indexed="81"/>
            <rFont val="Tahoma"/>
            <family val="2"/>
          </rPr>
          <t>Deze verhouding geeft de grootte van de vlottende marge weer ten opzichte van de grootte van uw bedrijf. Hoe hoger dit percentage is, hoe beter.</t>
        </r>
      </text>
    </comment>
    <comment ref="B43" authorId="0" shapeId="0">
      <text>
        <r>
          <rPr>
            <sz val="9"/>
            <color indexed="81"/>
            <rFont val="Tahoma"/>
            <family val="2"/>
          </rPr>
          <t>De aflossingscapaciteit bepaalt hoeveel cash u genereert die u kan gebruiken om aan kasverplichtingen (uitgaven die u effectief moet doen, zoals aflossingen) te voldoen.
Hoe hoger dit bedrag is, hoe beter.</t>
        </r>
      </text>
    </comment>
    <comment ref="B45" authorId="0" shapeId="0">
      <text>
        <r>
          <rPr>
            <sz val="9"/>
            <color indexed="81"/>
            <rFont val="Tahoma"/>
            <family val="2"/>
          </rPr>
          <t xml:space="preserve">De aflossingsmarge zegt hoeveel geld er overblijft nadat u alle kasverplichtingen heeft voldaan. Hoe hoger dit bedrag is, hoe beter.
</t>
        </r>
      </text>
    </comment>
  </commentList>
</comments>
</file>

<file path=xl/sharedStrings.xml><?xml version="1.0" encoding="utf-8"?>
<sst xmlns="http://schemas.openxmlformats.org/spreadsheetml/2006/main" count="379" uniqueCount="104">
  <si>
    <t>Vlottende marge ten opzichte van omzet</t>
  </si>
  <si>
    <t>Zaaigoed</t>
  </si>
  <si>
    <t>Meststoffen</t>
  </si>
  <si>
    <t>Gewasbescherming</t>
  </si>
  <si>
    <t>Bewaring</t>
  </si>
  <si>
    <t>Afzet en vermarkting</t>
  </si>
  <si>
    <t>Diverse</t>
  </si>
  <si>
    <t>Betaalde arbeid</t>
  </si>
  <si>
    <t>Uw waarde</t>
  </si>
  <si>
    <t>Streefwaarde 1</t>
  </si>
  <si>
    <t>Diagnose</t>
  </si>
  <si>
    <t>Winstgevendheid</t>
  </si>
  <si>
    <t>Rendement van eigen arbeid</t>
  </si>
  <si>
    <t>Rendement van totaal vermogen</t>
  </si>
  <si>
    <t>Rendement van eigen vermogen</t>
  </si>
  <si>
    <t>Operationele winstmarge ratio</t>
  </si>
  <si>
    <t>Aflossingscapaciteit</t>
  </si>
  <si>
    <t>Aflossingsmarge</t>
  </si>
  <si>
    <t>Financieel-economische efficiëntie</t>
  </si>
  <si>
    <t>Intrest</t>
  </si>
  <si>
    <t>Balansliquiditeit</t>
  </si>
  <si>
    <t>Verwarming</t>
  </si>
  <si>
    <t>Netto bedrijfsinkomen</t>
  </si>
  <si>
    <t>Kosten-omzetratio</t>
  </si>
  <si>
    <t>Activa-omzet ratio</t>
  </si>
  <si>
    <t>Afschrijvings-omzetratio</t>
  </si>
  <si>
    <t>Intrest-omzetratio</t>
  </si>
  <si>
    <t>Inkomens-omzetratio</t>
  </si>
  <si>
    <t xml:space="preserve">Betaalde pacht </t>
  </si>
  <si>
    <t>Invoer</t>
  </si>
  <si>
    <t>ENDIFE</t>
  </si>
  <si>
    <t xml:space="preserve">Streefwaarde 2 </t>
  </si>
  <si>
    <t>Wanneer u de cursor van uw computer boven een indicator houdt, verschijnt uitleg over wat die indicator precies betekent.</t>
  </si>
  <si>
    <t>Terugbetalingscapaciteit</t>
  </si>
  <si>
    <t>Wat kan gedaan worden om de waarde van deze indicator te verbeteren, kunt u vinden door op de aanwezige blauwe hyperlinks te klikken.</t>
  </si>
  <si>
    <t>Energie en water</t>
  </si>
  <si>
    <t>Schuldgraad</t>
  </si>
  <si>
    <t>Loonwerk en seizoenslonen</t>
  </si>
  <si>
    <t>Opmerkingen</t>
  </si>
  <si>
    <t>Categorie</t>
  </si>
  <si>
    <t>Totale kost</t>
  </si>
  <si>
    <t>Kost / kg witloof</t>
  </si>
  <si>
    <t>Economische indicatoren</t>
  </si>
  <si>
    <t>Financiële indicatoren</t>
  </si>
  <si>
    <t xml:space="preserve">Hier staan verschillende economische en financiële indicatoren weergegeven, alsook een diagnose die zegt of de score van een indicator Goed, Matig of Zwak is. </t>
  </si>
  <si>
    <t>Rendement van eigen arbeid ("arbeidsinkomen")</t>
  </si>
  <si>
    <t>Kosten</t>
  </si>
  <si>
    <t>Afschrijvingen</t>
  </si>
  <si>
    <t>Inkomen</t>
  </si>
  <si>
    <t>Educatie- eN DIagnose voor Financieel-Economische gezondheid</t>
  </si>
  <si>
    <t>Speedometer</t>
  </si>
  <si>
    <t>Pointer</t>
  </si>
  <si>
    <t>Start</t>
  </si>
  <si>
    <t>Initial</t>
  </si>
  <si>
    <t>Middle</t>
  </si>
  <si>
    <t>End</t>
  </si>
  <si>
    <t>Total</t>
  </si>
  <si>
    <t>Value</t>
  </si>
  <si>
    <t>Vlottende marge-omzet ratio</t>
  </si>
  <si>
    <t>Real values</t>
  </si>
  <si>
    <t>Min</t>
  </si>
  <si>
    <t>Bad</t>
  </si>
  <si>
    <t>Good</t>
  </si>
  <si>
    <t>Max</t>
  </si>
  <si>
    <t>Kosten omzet ratio</t>
  </si>
  <si>
    <t>Operationele winst marge ratio</t>
  </si>
  <si>
    <t>Activa turnover</t>
  </si>
  <si>
    <t>Kostenstructuur (OPM: kosten van mogelijk meerdere takken)</t>
  </si>
  <si>
    <t>Vreemd vermogen / totaal vermogen</t>
  </si>
  <si>
    <t>Vlottende ratio</t>
  </si>
  <si>
    <t>Gemaakt in het kader van het demonstratieproject 'Witloofbarometer' i.o.v. het Departement Landbouw en Visserij</t>
  </si>
  <si>
    <t>Projectpartners: Nationale Proeftuin voor Witloof (projectleider), Inagro, ILVO en BB-Consult</t>
  </si>
  <si>
    <t xml:space="preserve">Contact: </t>
  </si>
  <si>
    <t>Tim De Clercq (Nationale Proeftuin voor Witloof, tim.declercq@vlaamsbrabant.be)</t>
  </si>
  <si>
    <t>Christien Miroir (BB-Consult,christien.miroir@boerenbond.be)</t>
  </si>
  <si>
    <r>
      <rPr>
        <b/>
        <sz val="8"/>
        <color theme="1"/>
        <rFont val="Arial"/>
        <family val="2"/>
      </rPr>
      <t>Aansprakelijkheidsbeperking</t>
    </r>
    <r>
      <rPr>
        <sz val="8"/>
        <color theme="1"/>
        <rFont val="Arial"/>
        <family val="2"/>
      </rPr>
      <t xml:space="preserve">
ENDIFE</t>
    </r>
    <r>
      <rPr>
        <vertAlign val="superscript"/>
        <sz val="8"/>
        <color theme="1"/>
        <rFont val="Arial"/>
        <family val="2"/>
      </rPr>
      <t>TM</t>
    </r>
    <r>
      <rPr>
        <sz val="8"/>
        <color theme="1"/>
        <rFont val="Arial"/>
        <family val="2"/>
      </rPr>
      <t xml:space="preserve"> werd door het ILVO met de meeste zorg en nauwkeurigheid ontwikkeld. Er wordt evenwel geen enkele garantie gegeven omtrent de juistheid of de volledigheid van de informatie geleverd door ENDIFE</t>
    </r>
    <r>
      <rPr>
        <vertAlign val="superscript"/>
        <sz val="8"/>
        <color theme="1"/>
        <rFont val="Arial"/>
        <family val="2"/>
      </rPr>
      <t>TM</t>
    </r>
    <r>
      <rPr>
        <sz val="8"/>
        <color theme="1"/>
        <rFont val="Arial"/>
        <family val="2"/>
      </rPr>
      <t>. De gebruiker van ENDIFE</t>
    </r>
    <r>
      <rPr>
        <vertAlign val="superscript"/>
        <sz val="8"/>
        <color theme="1"/>
        <rFont val="Arial"/>
        <family val="2"/>
      </rPr>
      <t>TM</t>
    </r>
    <r>
      <rPr>
        <sz val="8"/>
        <color theme="1"/>
        <rFont val="Arial"/>
        <family val="2"/>
      </rPr>
      <t xml:space="preserve"> ziet af van elke klacht tegen het ILVO of zijn ambtenaren, van welke aard ook, met betrekking tot het gebruik van de via ENDIFE</t>
    </r>
    <r>
      <rPr>
        <vertAlign val="superscript"/>
        <sz val="8"/>
        <color theme="1"/>
        <rFont val="Arial"/>
        <family val="2"/>
      </rPr>
      <t>TM</t>
    </r>
    <r>
      <rPr>
        <sz val="8"/>
        <color theme="1"/>
        <rFont val="Arial"/>
        <family val="2"/>
      </rPr>
      <t xml:space="preserve"> beschikbaar gestelde informatie. In geen geval zal het ILVO of zijn ambtenaren aansprakelijk gesteld kunnen worden voor eventuele nadelige gevolgen die voortvloeien uit het gebruik van de via ENDIFE</t>
    </r>
    <r>
      <rPr>
        <vertAlign val="superscript"/>
        <sz val="8"/>
        <color theme="1"/>
        <rFont val="Arial"/>
        <family val="2"/>
      </rPr>
      <t>TM</t>
    </r>
    <r>
      <rPr>
        <sz val="8"/>
        <color theme="1"/>
        <rFont val="Arial"/>
        <family val="2"/>
      </rPr>
      <t xml:space="preserve"> beschikbaar gestelde informatie.
ENDIFE</t>
    </r>
    <r>
      <rPr>
        <vertAlign val="superscript"/>
        <sz val="8"/>
        <color theme="1"/>
        <rFont val="Arial"/>
        <family val="2"/>
      </rPr>
      <t>TM</t>
    </r>
    <r>
      <rPr>
        <sz val="8"/>
        <color theme="1"/>
        <rFont val="Arial"/>
        <family val="2"/>
      </rPr>
      <t xml:space="preserve"> is een gedeponeerd handelsmerk.
</t>
    </r>
  </si>
  <si>
    <r>
      <rPr>
        <b/>
        <sz val="11"/>
        <color theme="1"/>
        <rFont val="Arial"/>
        <family val="2"/>
      </rPr>
      <t>ENDIFE</t>
    </r>
    <r>
      <rPr>
        <sz val="11"/>
        <color theme="1"/>
        <rFont val="Arial"/>
        <family val="2"/>
      </rPr>
      <t xml:space="preserve"> kan enkel gebruikt worden indien macro's zijn ingeschakeld.</t>
    </r>
  </si>
  <si>
    <t>Nieuwe waarde</t>
  </si>
  <si>
    <t>Real values new</t>
  </si>
  <si>
    <t>Pointer new</t>
  </si>
  <si>
    <t>Resultaat</t>
  </si>
  <si>
    <t>Auteurs: Erwin Wauters, Dries Loncke, Frederik Leen, Jef Van Meensel</t>
  </si>
  <si>
    <t>Hydrocultuur</t>
  </si>
  <si>
    <t>Tania De Marez (Inagro, tania.demarez@inagro.be); Peter Maenhout (Inagro, peter.maenhout@inagro.be)</t>
  </si>
  <si>
    <t>ENDIFE 3.0</t>
  </si>
  <si>
    <r>
      <rPr>
        <b/>
        <sz val="11"/>
        <rFont val="Arial"/>
        <family val="2"/>
      </rPr>
      <t>ENDIFE</t>
    </r>
    <r>
      <rPr>
        <sz val="11"/>
        <rFont val="Arial"/>
        <family val="2"/>
      </rPr>
      <t xml:space="preserve"> is een programma dat in staat is om de economische en financiële toestand van uw witloofbedrijf onder de loep te nemen op basis van gegevens uit de bedrijfseconomische boekhouding. Daarnaast laat ENDIFE toe om op een eenvoudige manier door te rekenen wat de impact van veranderingen op uw bedrijf kan zijn op de economische en financiële gezondheid van uw bedrijf. 
De tool die u nu geopend heeft is ENDIFE3.0, een tool om de impact na te gaan van strategische wijzigingen op uw bedrijf. Strategische wijzigingen (of investeringen) zijn grote veranderingen aan de structuur van je bedrijf waarvan de impact meerdere jaren duurt. Typische voorbeelden zijn de aankoop van grond en de aankoop, uitbreiding of vernieuwing van gebouwen en machines. 
</t>
    </r>
  </si>
  <si>
    <t>Totaal bedrag van de investering</t>
  </si>
  <si>
    <t>Verdisconteringsvoet</t>
  </si>
  <si>
    <t>Totale uitgaven</t>
  </si>
  <si>
    <t>Jaarlijkse netto resultaat</t>
  </si>
  <si>
    <t>Jaarlijkse huidige waarde</t>
  </si>
  <si>
    <t>Rente</t>
  </si>
  <si>
    <t>Totale baten per jaar</t>
  </si>
  <si>
    <t xml:space="preserve">Deze rekentool om investeringen te analyseren is bewust vrij eenvoudig gehouden. In het tabblad Invoer moet u een aantal gegevens invullen over jouw investering. Zo moet je het totaal bedrag van de investering invullen, de verdisconteringsvoet die je wil gebruiken om je investering te analyseren, en de rente die je moet betalen als je een lening aangaat bij de bank. Daarnaast moet je voor alle jaren dat je de investering zal gebruiken inschatten wat de totale extra baten en de totale extra kosten zullen zijn door de investering over een bepaalde periode te gebruiken. Dit kan tot maximaal 30 jaar, als je de investering minder lang gebruikt, dan vul je voor de overige jaren het getal 0 in. Het inschatten van de jaarlijkse baten en kosten is niet eenvoudig, maar wel noodzakelijk om een goed zicht te krijgen over je investering. Meestal vul je voor elk jaar dezelfde baten en kosten in. Een mogelijkheid is ook dat je voor de eerste paar jaren lagere baten invult, als je verwacht dat je investering in het begin mogelijk nog niet goed rendeert. De informatie die nodig is kan je halen (1) uit je eigen boekhouding (bijvoorbeeld als je investeert in een extra ha grond kan je in je boekhouding kijken hoeveel baten en kosten je normaal uit 1 ha witloof haalt); (2) de fabrikant of verkoper van de investering; (3) collega's; (4) adviseurs; (5) vakbladen; (6) studiedagen en demonstratiedagen. </t>
  </si>
  <si>
    <t xml:space="preserve">Het model berekent de netto huidige waarde (NHW) van je investering. Dit is een maatstaf om na te gaan of je investering economisch zinvol is. De waarde die het model geeft is NIET gelijk aan het rendement van je investering, het is een maat die je vertelt of je investering een economisch goede investering is. </t>
  </si>
  <si>
    <t>Netto huidige waarde (NHW)</t>
  </si>
  <si>
    <t>NHW van je investering</t>
  </si>
  <si>
    <t>Evaluatie</t>
  </si>
  <si>
    <t>Interne opbrengstvoet (IOV)</t>
  </si>
  <si>
    <t>IOV van je investering</t>
  </si>
  <si>
    <t>Jaarlijkse kasstroom</t>
  </si>
  <si>
    <t>Jaarlijkse cumulatieve kasstroom</t>
  </si>
  <si>
    <t>Terugbetaalperiode (TBP)</t>
  </si>
  <si>
    <t>In dit tabblad moet je de gegevens van je investering invullen. Let op, je kan enkel iets in te vullen in de lichtgrijze cellen met een kader rond; de groene cellen worden berekend. Je kan ook steeds op de knoppen klikken voor meer uitleg.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</si>
</sst>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quot;€&quot;\ #,##0.00"/>
    <numFmt numFmtId="165" formatCode="_ [$€-813]\ * #,##0.00_ ;_ [$€-813]\ * \-#,##0.00_ ;_ [$€-813]\ * &quot;-&quot;??_ ;_ @_ "/>
  </numFmts>
  <fonts count="35" x14ac:knownFonts="1">
    <font>
      <sz val="11"/>
      <color theme="1"/>
      <name val="Calibri"/>
      <family val="2"/>
      <scheme val="minor"/>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theme="1"/>
      <name val="Arial"/>
      <family val="2"/>
    </font>
    <font>
      <sz val="12"/>
      <color theme="1"/>
      <name val="Arial"/>
      <family val="2"/>
    </font>
    <font>
      <sz val="14"/>
      <color theme="1"/>
      <name val="Arial"/>
      <family val="2"/>
    </font>
    <font>
      <u/>
      <sz val="11"/>
      <color theme="10"/>
      <name val="Calibri"/>
      <family val="2"/>
      <scheme val="minor"/>
    </font>
    <font>
      <b/>
      <sz val="11"/>
      <color theme="1"/>
      <name val="Arial"/>
      <family val="2"/>
    </font>
    <font>
      <sz val="9"/>
      <color indexed="81"/>
      <name val="Tahoma"/>
      <family val="2"/>
    </font>
    <font>
      <sz val="13"/>
      <color theme="1"/>
      <name val="Calibri"/>
      <family val="2"/>
      <scheme val="minor"/>
    </font>
    <font>
      <sz val="12"/>
      <color theme="4" tint="-0.499984740745262"/>
      <name val="Arial"/>
      <family val="2"/>
    </font>
    <font>
      <sz val="11"/>
      <name val="Arial"/>
      <family val="2"/>
    </font>
    <font>
      <sz val="12"/>
      <color theme="9" tint="0.79998168889431442"/>
      <name val="Arial"/>
      <family val="2"/>
    </font>
    <font>
      <sz val="14"/>
      <color rgb="FFFF7C80"/>
      <name val="Rockwell"/>
      <family val="1"/>
    </font>
    <font>
      <sz val="14"/>
      <color rgb="FFFF7C80"/>
      <name val="Arial"/>
      <family val="2"/>
    </font>
    <font>
      <sz val="11"/>
      <color theme="0"/>
      <name val="Arial"/>
      <family val="2"/>
    </font>
    <font>
      <b/>
      <sz val="12"/>
      <color theme="1"/>
      <name val="Arial"/>
      <family val="2"/>
    </font>
    <font>
      <i/>
      <sz val="11"/>
      <color theme="1"/>
      <name val="Arial"/>
      <family val="2"/>
    </font>
    <font>
      <sz val="13"/>
      <color theme="1"/>
      <name val="Arial"/>
      <family val="2"/>
    </font>
    <font>
      <sz val="48"/>
      <color rgb="FF00B050"/>
      <name val="Rockwell Extra Bold"/>
      <family val="1"/>
    </font>
    <font>
      <b/>
      <sz val="14"/>
      <color rgb="FF00B050"/>
      <name val="Arial"/>
      <family val="2"/>
    </font>
    <font>
      <sz val="12"/>
      <color theme="0"/>
      <name val="Arial"/>
      <family val="2"/>
    </font>
    <font>
      <b/>
      <sz val="11"/>
      <color theme="4" tint="-0.499984740745262"/>
      <name val="Arial"/>
      <family val="2"/>
    </font>
    <font>
      <b/>
      <sz val="11"/>
      <name val="Arial"/>
      <family val="2"/>
    </font>
    <font>
      <u/>
      <sz val="11"/>
      <color theme="10"/>
      <name val="Arial"/>
      <family val="2"/>
    </font>
    <font>
      <sz val="11"/>
      <color theme="4" tint="-0.499984740745262"/>
      <name val="Arial"/>
      <family val="2"/>
    </font>
    <font>
      <sz val="12"/>
      <color rgb="FF00B050"/>
      <name val="Arial"/>
      <family val="2"/>
    </font>
    <font>
      <sz val="8"/>
      <color theme="1"/>
      <name val="Arial"/>
      <family val="2"/>
    </font>
    <font>
      <b/>
      <sz val="8"/>
      <color theme="1"/>
      <name val="Arial"/>
      <family val="2"/>
    </font>
    <font>
      <vertAlign val="superscript"/>
      <sz val="8"/>
      <color theme="1"/>
      <name val="Arial"/>
      <family val="2"/>
    </font>
    <font>
      <b/>
      <sz val="11"/>
      <color rgb="FF3F3F3F"/>
      <name val="Calibri"/>
      <family val="2"/>
      <scheme val="minor"/>
    </font>
    <font>
      <b/>
      <sz val="11"/>
      <color rgb="FF3F3F3F"/>
      <name val="Arial"/>
      <family val="2"/>
    </font>
    <font>
      <b/>
      <sz val="14"/>
      <color theme="1"/>
      <name val="Calibri"/>
      <family val="2"/>
      <scheme val="minor"/>
    </font>
  </fonts>
  <fills count="18">
    <fill>
      <patternFill patternType="none"/>
    </fill>
    <fill>
      <patternFill patternType="gray125"/>
    </fill>
    <fill>
      <patternFill patternType="solid">
        <fgColor rgb="FFF2F2F2"/>
      </patternFill>
    </fill>
    <fill>
      <patternFill patternType="solid">
        <fgColor rgb="FFA5A5A5"/>
      </patternFill>
    </fill>
    <fill>
      <patternFill patternType="solid">
        <fgColor rgb="FFFFFFCC"/>
      </patternFill>
    </fill>
    <fill>
      <patternFill patternType="solid">
        <fgColor theme="9" tint="0.79998168889431442"/>
        <bgColor indexed="64"/>
      </patternFill>
    </fill>
    <fill>
      <patternFill patternType="solid">
        <fgColor theme="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bgColor indexed="64"/>
      </patternFill>
    </fill>
    <fill>
      <patternFill patternType="solid">
        <fgColor rgb="FF66FFFF"/>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DEFE7"/>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CC99"/>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1">
    <xf numFmtId="0" fontId="0" fillId="0" borderId="0"/>
    <xf numFmtId="0" fontId="3" fillId="2" borderId="1" applyNumberFormat="0" applyAlignment="0" applyProtection="0"/>
    <xf numFmtId="0" fontId="4" fillId="3" borderId="2" applyNumberFormat="0" applyAlignment="0" applyProtection="0"/>
    <xf numFmtId="0" fontId="1" fillId="4" borderId="3" applyNumberFormat="0" applyFont="0" applyAlignment="0" applyProtection="0"/>
    <xf numFmtId="0" fontId="8" fillId="0" borderId="0" applyNumberFormat="0" applyFill="0" applyBorder="0" applyAlignment="0" applyProtection="0"/>
    <xf numFmtId="0" fontId="2" fillId="6"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2" borderId="4" applyNumberFormat="0" applyAlignment="0" applyProtection="0"/>
  </cellStyleXfs>
  <cellXfs count="90">
    <xf numFmtId="0" fontId="0" fillId="0" borderId="0" xfId="0"/>
    <xf numFmtId="10" fontId="6" fillId="5" borderId="0" xfId="0" applyNumberFormat="1" applyFont="1" applyFill="1" applyAlignment="1">
      <alignment vertical="center"/>
    </xf>
    <xf numFmtId="0" fontId="6" fillId="10" borderId="0" xfId="0" applyFont="1" applyFill="1"/>
    <xf numFmtId="0" fontId="6" fillId="5" borderId="0" xfId="0" applyFont="1" applyFill="1"/>
    <xf numFmtId="0" fontId="6" fillId="5" borderId="0" xfId="0" applyFont="1" applyFill="1" applyAlignment="1">
      <alignment vertical="center"/>
    </xf>
    <xf numFmtId="0" fontId="6"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6" fillId="5" borderId="0" xfId="0" applyFont="1" applyFill="1" applyBorder="1" applyAlignment="1">
      <alignment vertical="center"/>
    </xf>
    <xf numFmtId="0" fontId="12" fillId="5" borderId="0" xfId="0" applyFont="1" applyFill="1" applyBorder="1" applyAlignment="1">
      <alignment vertical="center"/>
    </xf>
    <xf numFmtId="0" fontId="14" fillId="5" borderId="0" xfId="0" applyFont="1" applyFill="1"/>
    <xf numFmtId="10" fontId="14" fillId="5" borderId="0" xfId="0" applyNumberFormat="1" applyFont="1" applyFill="1"/>
    <xf numFmtId="2" fontId="0" fillId="0" borderId="0" xfId="6" applyNumberFormat="1" applyFont="1"/>
    <xf numFmtId="1" fontId="0" fillId="0" borderId="0" xfId="6" applyNumberFormat="1" applyFont="1"/>
    <xf numFmtId="2" fontId="0" fillId="0" borderId="0" xfId="0" applyNumberFormat="1"/>
    <xf numFmtId="0" fontId="17" fillId="10" borderId="0" xfId="0" applyFont="1" applyFill="1"/>
    <xf numFmtId="0" fontId="7" fillId="14" borderId="0" xfId="0" applyFont="1" applyFill="1" applyAlignment="1">
      <alignment wrapText="1"/>
    </xf>
    <xf numFmtId="0" fontId="21" fillId="14" borderId="0" xfId="0" applyFont="1" applyFill="1" applyAlignment="1">
      <alignment horizontal="center" vertical="center" wrapText="1"/>
    </xf>
    <xf numFmtId="0" fontId="22" fillId="14" borderId="0" xfId="0" applyFont="1" applyFill="1" applyAlignment="1">
      <alignment horizontal="center" wrapText="1"/>
    </xf>
    <xf numFmtId="0" fontId="8" fillId="14" borderId="0" xfId="4" applyFill="1" applyAlignment="1">
      <alignment wrapText="1"/>
    </xf>
    <xf numFmtId="0" fontId="22" fillId="14" borderId="0" xfId="5" applyFont="1" applyFill="1" applyAlignment="1">
      <alignment wrapText="1"/>
    </xf>
    <xf numFmtId="0" fontId="15" fillId="14" borderId="0" xfId="5" applyFont="1" applyFill="1" applyAlignment="1">
      <alignment wrapText="1"/>
    </xf>
    <xf numFmtId="0" fontId="20" fillId="14" borderId="0" xfId="0" applyFont="1" applyFill="1" applyAlignment="1">
      <alignment wrapText="1"/>
    </xf>
    <xf numFmtId="0" fontId="11" fillId="14" borderId="0" xfId="0" applyFont="1" applyFill="1" applyAlignment="1">
      <alignment horizontal="justify" vertical="center" wrapText="1"/>
    </xf>
    <xf numFmtId="0" fontId="22" fillId="14" borderId="0" xfId="0" applyFont="1" applyFill="1" applyAlignment="1">
      <alignment wrapText="1"/>
    </xf>
    <xf numFmtId="0" fontId="16" fillId="14" borderId="0" xfId="0" applyFont="1" applyFill="1" applyAlignment="1">
      <alignment wrapText="1"/>
    </xf>
    <xf numFmtId="0" fontId="0" fillId="14" borderId="0" xfId="0" applyFill="1"/>
    <xf numFmtId="0" fontId="23" fillId="10" borderId="0" xfId="0" applyFont="1" applyFill="1" applyAlignment="1">
      <alignment vertical="center" wrapText="1"/>
    </xf>
    <xf numFmtId="0" fontId="23" fillId="10" borderId="0" xfId="0" applyFont="1" applyFill="1"/>
    <xf numFmtId="0" fontId="23" fillId="10" borderId="0" xfId="0" applyFont="1" applyFill="1" applyAlignment="1">
      <alignment vertical="center"/>
    </xf>
    <xf numFmtId="0" fontId="23" fillId="10" borderId="0" xfId="0" applyFont="1" applyFill="1" applyAlignment="1">
      <alignment horizontal="center" vertical="center"/>
    </xf>
    <xf numFmtId="0" fontId="17" fillId="10" borderId="0" xfId="0" applyFont="1" applyFill="1" applyAlignment="1">
      <alignment vertical="center" wrapText="1"/>
    </xf>
    <xf numFmtId="0" fontId="5" fillId="11" borderId="0" xfId="0" applyFont="1" applyFill="1"/>
    <xf numFmtId="0" fontId="19" fillId="11" borderId="0" xfId="0" applyFont="1" applyFill="1" applyAlignment="1">
      <alignment vertical="center" wrapText="1"/>
    </xf>
    <xf numFmtId="0" fontId="6" fillId="5" borderId="0" xfId="0" applyFont="1" applyFill="1" applyAlignment="1">
      <alignment horizontal="center" vertical="center"/>
    </xf>
    <xf numFmtId="0" fontId="5" fillId="5" borderId="0" xfId="0" applyFont="1" applyFill="1"/>
    <xf numFmtId="0" fontId="19" fillId="5" borderId="0" xfId="0" applyFont="1" applyFill="1" applyAlignment="1">
      <alignment vertical="center" wrapText="1"/>
    </xf>
    <xf numFmtId="0" fontId="6" fillId="8" borderId="0" xfId="3" applyFont="1" applyFill="1" applyBorder="1" applyAlignment="1">
      <alignment horizontal="center" vertical="center"/>
    </xf>
    <xf numFmtId="0" fontId="18" fillId="8" borderId="0" xfId="0" applyFont="1" applyFill="1"/>
    <xf numFmtId="0" fontId="6" fillId="8" borderId="0" xfId="0" applyFont="1" applyFill="1" applyAlignment="1">
      <alignment vertical="center" wrapText="1"/>
    </xf>
    <xf numFmtId="0" fontId="6" fillId="5" borderId="0" xfId="0" applyFont="1" applyFill="1" applyAlignment="1">
      <alignment vertical="center" wrapText="1"/>
    </xf>
    <xf numFmtId="10" fontId="24" fillId="9" borderId="0" xfId="1" applyNumberFormat="1" applyFont="1" applyFill="1" applyBorder="1" applyAlignment="1">
      <alignment horizontal="center" vertical="center"/>
    </xf>
    <xf numFmtId="10" fontId="25" fillId="12" borderId="0" xfId="2" applyNumberFormat="1" applyFont="1" applyFill="1" applyBorder="1" applyAlignment="1">
      <alignment horizontal="center" vertical="center"/>
    </xf>
    <xf numFmtId="0" fontId="26" fillId="5" borderId="0" xfId="4" applyFont="1" applyFill="1" applyBorder="1" applyAlignment="1">
      <alignment vertical="center"/>
    </xf>
    <xf numFmtId="165" fontId="24" fillId="2" borderId="0" xfId="1" applyNumberFormat="1" applyFont="1" applyBorder="1" applyAlignment="1">
      <alignment horizontal="center" vertical="center"/>
    </xf>
    <xf numFmtId="164" fontId="25" fillId="12" borderId="0" xfId="2" applyNumberFormat="1" applyFont="1" applyFill="1" applyBorder="1" applyAlignment="1">
      <alignment horizontal="center" vertical="center"/>
    </xf>
    <xf numFmtId="10" fontId="24" fillId="2" borderId="0" xfId="1" applyNumberFormat="1" applyFont="1" applyBorder="1" applyAlignment="1">
      <alignment horizontal="center" vertical="center"/>
    </xf>
    <xf numFmtId="0" fontId="27" fillId="5" borderId="0" xfId="0" applyFont="1" applyFill="1" applyBorder="1" applyAlignment="1">
      <alignment horizontal="center" vertical="center"/>
    </xf>
    <xf numFmtId="0" fontId="5" fillId="5" borderId="0" xfId="0" applyFont="1" applyFill="1" applyBorder="1" applyAlignment="1">
      <alignment horizontal="center" vertical="center"/>
    </xf>
    <xf numFmtId="164" fontId="24" fillId="2" borderId="0" xfId="1" applyNumberFormat="1" applyFont="1" applyBorder="1" applyAlignment="1">
      <alignment horizontal="center" vertical="center"/>
    </xf>
    <xf numFmtId="10" fontId="24" fillId="5" borderId="0" xfId="1" applyNumberFormat="1" applyFont="1" applyFill="1" applyBorder="1" applyAlignment="1">
      <alignment horizontal="center" vertical="center"/>
    </xf>
    <xf numFmtId="10" fontId="25" fillId="5" borderId="0" xfId="2" applyNumberFormat="1" applyFont="1" applyFill="1" applyBorder="1" applyAlignment="1">
      <alignment horizontal="center" vertical="center"/>
    </xf>
    <xf numFmtId="0" fontId="5" fillId="7" borderId="0" xfId="0" applyFont="1" applyFill="1"/>
    <xf numFmtId="0" fontId="5" fillId="5" borderId="0" xfId="0" applyFont="1" applyFill="1" applyAlignment="1">
      <alignment wrapText="1"/>
    </xf>
    <xf numFmtId="0" fontId="9" fillId="5" borderId="0" xfId="0" applyFont="1" applyFill="1"/>
    <xf numFmtId="0" fontId="9" fillId="5" borderId="0" xfId="0" applyFont="1" applyFill="1" applyAlignment="1">
      <alignment horizontal="center" wrapText="1"/>
    </xf>
    <xf numFmtId="0" fontId="13" fillId="5" borderId="0" xfId="0" applyFont="1" applyFill="1"/>
    <xf numFmtId="164" fontId="13" fillId="5" borderId="0" xfId="0" applyNumberFormat="1" applyFont="1" applyFill="1" applyAlignment="1">
      <alignment horizontal="right" vertical="center" wrapText="1"/>
    </xf>
    <xf numFmtId="164" fontId="5" fillId="5" borderId="0" xfId="0" applyNumberFormat="1" applyFont="1" applyFill="1" applyAlignment="1">
      <alignment horizontal="center" vertical="center"/>
    </xf>
    <xf numFmtId="0" fontId="5" fillId="5" borderId="0" xfId="0" applyFont="1" applyFill="1" applyAlignment="1">
      <alignment horizontal="left" vertical="center"/>
    </xf>
    <xf numFmtId="0" fontId="6" fillId="8" borderId="0" xfId="0" applyFont="1" applyFill="1"/>
    <xf numFmtId="0" fontId="5" fillId="5" borderId="0" xfId="0" applyFont="1" applyFill="1" applyAlignment="1">
      <alignment vertical="center" wrapText="1"/>
    </xf>
    <xf numFmtId="0" fontId="28" fillId="5" borderId="0" xfId="0" applyFont="1" applyFill="1"/>
    <xf numFmtId="10" fontId="28" fillId="5" borderId="0" xfId="0" applyNumberFormat="1" applyFont="1" applyFill="1"/>
    <xf numFmtId="2" fontId="24" fillId="2" borderId="0" xfId="1" applyNumberFormat="1" applyFont="1" applyBorder="1" applyAlignment="1">
      <alignment horizontal="center" vertical="center"/>
    </xf>
    <xf numFmtId="2" fontId="25" fillId="12" borderId="0" xfId="2" applyNumberFormat="1" applyFont="1" applyFill="1" applyBorder="1" applyAlignment="1">
      <alignment horizontal="center" vertical="center"/>
    </xf>
    <xf numFmtId="0" fontId="5" fillId="14" borderId="0" xfId="0" applyFont="1" applyFill="1" applyAlignment="1">
      <alignment horizontal="left" vertical="center" wrapText="1"/>
    </xf>
    <xf numFmtId="0" fontId="5" fillId="14" borderId="0" xfId="0" applyFont="1" applyFill="1" applyAlignment="1">
      <alignment wrapText="1"/>
    </xf>
    <xf numFmtId="0" fontId="0" fillId="14" borderId="0" xfId="0" applyFill="1" applyAlignment="1">
      <alignment horizontal="left"/>
    </xf>
    <xf numFmtId="0" fontId="5" fillId="14" borderId="0" xfId="0" applyFont="1" applyFill="1" applyAlignment="1">
      <alignment horizontal="left"/>
    </xf>
    <xf numFmtId="0" fontId="29" fillId="14" borderId="0" xfId="0" applyFont="1" applyFill="1" applyAlignment="1">
      <alignment horizontal="left" wrapText="1"/>
    </xf>
    <xf numFmtId="0" fontId="13" fillId="14" borderId="0" xfId="5" applyFont="1" applyFill="1" applyAlignment="1">
      <alignment horizontal="justify" vertical="center" wrapText="1"/>
    </xf>
    <xf numFmtId="0" fontId="5" fillId="14" borderId="0" xfId="0" applyFont="1" applyFill="1" applyAlignment="1">
      <alignment horizontal="justify" vertical="center" wrapText="1"/>
    </xf>
    <xf numFmtId="10" fontId="6" fillId="5" borderId="0" xfId="0" applyNumberFormat="1" applyFont="1" applyFill="1"/>
    <xf numFmtId="164" fontId="6" fillId="5" borderId="0" xfId="0" applyNumberFormat="1" applyFont="1" applyFill="1"/>
    <xf numFmtId="0" fontId="0" fillId="0" borderId="0" xfId="6" applyNumberFormat="1" applyFont="1"/>
    <xf numFmtId="0" fontId="5" fillId="14" borderId="0" xfId="0" applyFont="1" applyFill="1"/>
    <xf numFmtId="0" fontId="5" fillId="15" borderId="0" xfId="0" applyFont="1" applyFill="1"/>
    <xf numFmtId="164" fontId="5" fillId="15" borderId="0" xfId="0" applyNumberFormat="1" applyFont="1" applyFill="1"/>
    <xf numFmtId="0" fontId="5" fillId="14" borderId="0" xfId="0" applyFont="1" applyFill="1" applyAlignment="1">
      <alignment vertical="center"/>
    </xf>
    <xf numFmtId="0" fontId="0" fillId="16" borderId="0" xfId="0" applyFill="1"/>
    <xf numFmtId="0" fontId="34" fillId="16" borderId="0" xfId="0" applyFont="1" applyFill="1" applyAlignment="1">
      <alignment vertical="center"/>
    </xf>
    <xf numFmtId="2" fontId="0" fillId="14" borderId="0" xfId="0" applyNumberFormat="1" applyFill="1"/>
    <xf numFmtId="2" fontId="5" fillId="15" borderId="0" xfId="0" applyNumberFormat="1" applyFont="1" applyFill="1"/>
    <xf numFmtId="0" fontId="5" fillId="17" borderId="0" xfId="0" applyFont="1" applyFill="1"/>
    <xf numFmtId="0" fontId="5" fillId="17" borderId="0" xfId="0" applyFont="1" applyFill="1" applyAlignment="1">
      <alignment wrapText="1"/>
    </xf>
    <xf numFmtId="0" fontId="18" fillId="13" borderId="0" xfId="0" applyFont="1" applyFill="1" applyAlignment="1">
      <alignment horizontal="center"/>
    </xf>
    <xf numFmtId="0" fontId="18" fillId="5" borderId="0" xfId="0" applyFont="1" applyFill="1" applyBorder="1" applyAlignment="1">
      <alignment horizontal="center" vertical="center" wrapText="1"/>
    </xf>
    <xf numFmtId="0" fontId="0" fillId="0" borderId="0" xfId="0" applyAlignment="1">
      <alignment horizontal="center"/>
    </xf>
    <xf numFmtId="0" fontId="33" fillId="2" borderId="4" xfId="10" applyFont="1" applyProtection="1">
      <protection locked="0"/>
    </xf>
    <xf numFmtId="164" fontId="32" fillId="2" borderId="4" xfId="10" applyNumberFormat="1" applyProtection="1">
      <protection locked="0"/>
    </xf>
  </cellXfs>
  <cellStyles count="11">
    <cellStyle name="Accent1" xfId="5" builtinId="29"/>
    <cellStyle name="Berekening" xfId="1" builtinId="22"/>
    <cellStyle name="Controlecel" xfId="2" builtinId="23"/>
    <cellStyle name="Hyperlink" xfId="4" builtinId="8"/>
    <cellStyle name="Notitie" xfId="3" builtinId="10"/>
    <cellStyle name="Procent" xfId="6" builtinId="5"/>
    <cellStyle name="Standaard" xfId="0" builtinId="0"/>
    <cellStyle name="Uitvoer" xfId="10" builtinId="21"/>
    <cellStyle name="Valuta 2" xfId="7"/>
    <cellStyle name="Valuta 2 2" xfId="9"/>
    <cellStyle name="Valuta 3" xfId="8"/>
  </cellStyles>
  <dxfs count="54">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FCC99"/>
      <color rgb="FFFDEFE7"/>
      <color rgb="FF66FF99"/>
      <color rgb="FFCC9900"/>
      <color rgb="FF00FFFF"/>
      <color rgb="FFFF5050"/>
      <color rgb="FFFF7C80"/>
      <color rgb="FFFF9999"/>
      <color rgb="FFFF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Invoer!$A$17</c:f>
              <c:strCache>
                <c:ptCount val="1"/>
                <c:pt idx="0">
                  <c:v>Jaarlijkse cumulatieve kasstroom</c:v>
                </c:pt>
              </c:strCache>
            </c:strRef>
          </c:tx>
          <c:spPr>
            <a:ln w="28575" cap="rnd">
              <a:solidFill>
                <a:schemeClr val="tx1"/>
              </a:solidFill>
              <a:round/>
            </a:ln>
            <a:effectLst/>
          </c:spPr>
          <c:marker>
            <c:symbol val="none"/>
          </c:marker>
          <c:cat>
            <c:numRef>
              <c:f>Invoer!$B$15:$AF$15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Invoer!$B$17:$AF$17</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B5D2-4812-80E6-F5B4642B6984}"/>
            </c:ext>
          </c:extLst>
        </c:ser>
        <c:dLbls>
          <c:showLegendKey val="0"/>
          <c:showVal val="0"/>
          <c:showCatName val="0"/>
          <c:showSerName val="0"/>
          <c:showPercent val="0"/>
          <c:showBubbleSize val="0"/>
        </c:dLbls>
        <c:smooth val="0"/>
        <c:axId val="483513744"/>
        <c:axId val="483518008"/>
      </c:lineChart>
      <c:catAx>
        <c:axId val="48351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3518008"/>
        <c:crosses val="autoZero"/>
        <c:auto val="1"/>
        <c:lblAlgn val="ctr"/>
        <c:lblOffset val="100"/>
        <c:noMultiLvlLbl val="0"/>
      </c:catAx>
      <c:valAx>
        <c:axId val="483518008"/>
        <c:scaling>
          <c:orientation val="minMax"/>
          <c:max val="50000"/>
          <c:min val="-500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3513744"/>
        <c:crosses val="autoZero"/>
        <c:crossBetween val="between"/>
      </c:valAx>
      <c:spPr>
        <a:noFill/>
        <a:ln>
          <a:noFill/>
        </a:ln>
        <a:effectLst/>
      </c:spPr>
    </c:plotArea>
    <c:plotVisOnly val="1"/>
    <c:dispBlanksAs val="gap"/>
    <c:showDLblsOverMax val="0"/>
  </c:chart>
  <c:spPr>
    <a:solidFill>
      <a:srgbClr val="FDEFE7"/>
    </a:solidFill>
    <a:ln w="9525" cap="flat" cmpd="sng" algn="ctr">
      <a:noFill/>
      <a:round/>
    </a:ln>
    <a:effectLst/>
  </c:spPr>
  <c:txPr>
    <a:bodyPr/>
    <a:lstStyle/>
    <a:p>
      <a:pPr>
        <a:defRPr/>
      </a:pPr>
      <a:endParaRPr lang="nl-B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334D-4B21-BCA6-F1A1A3AA6DF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34D-4B21-BCA6-F1A1A3AA6DFB}"/>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334D-4B21-BCA6-F1A1A3AA6DFB}"/>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334D-4B21-BCA6-F1A1A3AA6DFB}"/>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334D-4B21-BCA6-F1A1A3AA6DFB}"/>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334D-4B21-BCA6-F1A1A3AA6DFB}"/>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334D-4B21-BCA6-F1A1A3AA6DFB}"/>
              </c:ext>
            </c:extLst>
          </c:dPt>
          <c:dPt>
            <c:idx val="7"/>
            <c:bubble3D val="0"/>
            <c:spPr>
              <a:solidFill>
                <a:schemeClr val="accent2">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334D-4B21-BCA6-F1A1A3AA6DFB}"/>
              </c:ext>
            </c:extLst>
          </c:dPt>
          <c:dPt>
            <c:idx val="8"/>
            <c:bubble3D val="0"/>
            <c:spPr>
              <a:solidFill>
                <a:schemeClr val="accent3">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334D-4B21-BCA6-F1A1A3AA6DFB}"/>
              </c:ext>
            </c:extLst>
          </c:dPt>
          <c:dPt>
            <c:idx val="9"/>
            <c:bubble3D val="0"/>
            <c:spPr>
              <a:solidFill>
                <a:schemeClr val="accent4">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334D-4B21-BCA6-F1A1A3AA6DFB}"/>
              </c:ext>
            </c:extLst>
          </c:dPt>
          <c:dPt>
            <c:idx val="10"/>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334D-4B21-BCA6-F1A1A3AA6DF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BE"/>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 Rekenblad 1'!$B$53:$B$63</c:f>
              <c:strCache>
                <c:ptCount val="11"/>
                <c:pt idx="0">
                  <c:v>Zaaigoed</c:v>
                </c:pt>
                <c:pt idx="1">
                  <c:v>Meststoffen</c:v>
                </c:pt>
                <c:pt idx="2">
                  <c:v>Gewasbescherming</c:v>
                </c:pt>
                <c:pt idx="3">
                  <c:v>Bewaring</c:v>
                </c:pt>
                <c:pt idx="4">
                  <c:v>Verwarming</c:v>
                </c:pt>
                <c:pt idx="5">
                  <c:v>Energie en water</c:v>
                </c:pt>
                <c:pt idx="6">
                  <c:v>Afzet en vermarkting</c:v>
                </c:pt>
                <c:pt idx="7">
                  <c:v>Loonwerk en seizoenslonen</c:v>
                </c:pt>
                <c:pt idx="8">
                  <c:v>Diverse</c:v>
                </c:pt>
                <c:pt idx="9">
                  <c:v>Betaalde arbeid</c:v>
                </c:pt>
                <c:pt idx="10">
                  <c:v>Betaalde pacht </c:v>
                </c:pt>
              </c:strCache>
            </c:strRef>
          </c:cat>
          <c:val>
            <c:numRef>
              <c:f>' Rekenblad 1'!$C$53:$C$63</c:f>
              <c:numCache>
                <c:formatCode>"€"\ #\ ##0.00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F11-4042-A7AB-C89B62B7192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BE"/>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nl-BE"/>
              <a:t>Waar gaat mijn omzet heen?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7F0-4304-A989-2F32AFDC75F2}"/>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7F0-4304-A989-2F32AFDC75F2}"/>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47F0-4304-A989-2F32AFDC75F2}"/>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47F0-4304-A989-2F32AFDC75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BE"/>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 Rekenblad 1'!$I$25:$I$28</c:f>
              <c:strCache>
                <c:ptCount val="4"/>
                <c:pt idx="0">
                  <c:v>Kosten</c:v>
                </c:pt>
                <c:pt idx="1">
                  <c:v>Afschrijvingen</c:v>
                </c:pt>
                <c:pt idx="2">
                  <c:v>Intrest</c:v>
                </c:pt>
                <c:pt idx="3">
                  <c:v>Inkomen</c:v>
                </c:pt>
              </c:strCache>
            </c:strRef>
          </c:cat>
          <c:val>
            <c:numRef>
              <c:f>' Rekenblad 1'!$J$25:$J$28</c:f>
              <c:numCache>
                <c:formatCode>0.00%</c:formatCode>
                <c:ptCount val="4"/>
                <c:pt idx="0">
                  <c:v>0</c:v>
                </c:pt>
                <c:pt idx="1">
                  <c:v>0</c:v>
                </c:pt>
                <c:pt idx="2">
                  <c:v>0</c:v>
                </c:pt>
                <c:pt idx="3">
                  <c:v>0</c:v>
                </c:pt>
              </c:numCache>
            </c:numRef>
          </c:val>
          <c:extLst>
            <c:ext xmlns:c16="http://schemas.microsoft.com/office/drawing/2014/chart" uri="{C3380CC4-5D6E-409C-BE32-E72D297353CC}">
              <c16:uniqueId val="{00000000-FB98-4116-960E-02B523963F9B}"/>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BE"/>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5.emf"/><Relationship Id="rId5" Type="http://schemas.openxmlformats.org/officeDocument/2006/relationships/image" Target="../media/image10.emf"/><Relationship Id="rId4"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1112520</xdr:colOff>
      <xdr:row>19</xdr:row>
      <xdr:rowOff>114300</xdr:rowOff>
    </xdr:from>
    <xdr:to>
      <xdr:col>3</xdr:col>
      <xdr:colOff>371475</xdr:colOff>
      <xdr:row>39</xdr:row>
      <xdr:rowOff>146684</xdr:rowOff>
    </xdr:to>
    <xdr:grpSp>
      <xdr:nvGrpSpPr>
        <xdr:cNvPr id="2" name="Groep 1"/>
        <xdr:cNvGrpSpPr/>
      </xdr:nvGrpSpPr>
      <xdr:grpSpPr>
        <a:xfrm>
          <a:off x="1112520" y="5273040"/>
          <a:ext cx="8783955" cy="3689984"/>
          <a:chOff x="133350" y="12458701"/>
          <a:chExt cx="8477250" cy="3152774"/>
        </a:xfrm>
      </xdr:grpSpPr>
      <xdr:pic>
        <xdr:nvPicPr>
          <xdr:cNvPr id="3" name="Afbeelding 2" descr="http://www.vlaamsbrabant.be/binaries/logo-nationale-proeftuin-witloof_tcm5-92137.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14055725"/>
            <a:ext cx="2333625" cy="15557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Afbeelding 3" descr="http://varkensbedrijf.be/wp-content/uploads/sites/2/2014/12/inagro-onderzoek-en-advies-in-land-en-tuinbouw.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12458701"/>
            <a:ext cx="3615882" cy="15279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Afbeelding 4" descr="http://www.passwerk.be/sites/default/files/referenties/Boerenbond.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14058900"/>
            <a:ext cx="6073882" cy="15525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Afbeelding 5"/>
          <xdr:cNvPicPr>
            <a:picLocks noChangeAspect="1"/>
          </xdr:cNvPicPr>
        </xdr:nvPicPr>
        <xdr:blipFill>
          <a:blip xmlns:r="http://schemas.openxmlformats.org/officeDocument/2006/relationships" r:embed="rId4"/>
          <a:stretch>
            <a:fillRect/>
          </a:stretch>
        </xdr:blipFill>
        <xdr:spPr>
          <a:xfrm>
            <a:off x="142875" y="12458702"/>
            <a:ext cx="4769768" cy="151447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22</xdr:row>
      <xdr:rowOff>142876</xdr:rowOff>
    </xdr:from>
    <xdr:to>
      <xdr:col>3</xdr:col>
      <xdr:colOff>542925</xdr:colOff>
      <xdr:row>39</xdr:row>
      <xdr:rowOff>76200</xdr:rowOff>
    </xdr:to>
    <xdr:grpSp>
      <xdr:nvGrpSpPr>
        <xdr:cNvPr id="3" name="Groep 2"/>
        <xdr:cNvGrpSpPr/>
      </xdr:nvGrpSpPr>
      <xdr:grpSpPr>
        <a:xfrm>
          <a:off x="171450" y="10338436"/>
          <a:ext cx="8783955" cy="3689984"/>
          <a:chOff x="133350" y="12458701"/>
          <a:chExt cx="8477250" cy="3152774"/>
        </a:xfrm>
      </xdr:grpSpPr>
      <xdr:pic>
        <xdr:nvPicPr>
          <xdr:cNvPr id="5" name="Afbeelding 4" descr="http://www.vlaamsbrabant.be/binaries/logo-nationale-proeftuin-witloof_tcm5-92137.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14055725"/>
            <a:ext cx="2333625" cy="15557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Afbeelding 6" descr="http://varkensbedrijf.be/wp-content/uploads/sites/2/2014/12/inagro-onderzoek-en-advies-in-land-en-tuinbouw.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12458701"/>
            <a:ext cx="3615882" cy="15279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Afbeelding 7" descr="http://www.passwerk.be/sites/default/files/referenties/Boerenbond.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14058900"/>
            <a:ext cx="6073882" cy="15525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Afbeelding 5"/>
          <xdr:cNvPicPr>
            <a:picLocks noChangeAspect="1"/>
          </xdr:cNvPicPr>
        </xdr:nvPicPr>
        <xdr:blipFill>
          <a:blip xmlns:r="http://schemas.openxmlformats.org/officeDocument/2006/relationships" r:embed="rId4"/>
          <a:stretch>
            <a:fillRect/>
          </a:stretch>
        </xdr:blipFill>
        <xdr:spPr>
          <a:xfrm>
            <a:off x="142875" y="12458702"/>
            <a:ext cx="4769768" cy="151447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1</xdr:row>
          <xdr:rowOff>213360</xdr:rowOff>
        </xdr:from>
        <xdr:to>
          <xdr:col>3</xdr:col>
          <xdr:colOff>754380</xdr:colOff>
          <xdr:row>3</xdr:row>
          <xdr:rowOff>30480</xdr:rowOff>
        </xdr:to>
        <xdr:sp macro="" textlink="">
          <xdr:nvSpPr>
            <xdr:cNvPr id="4098" name="CommandButton1" descr="Klik voor uitleg"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xdr:row>
          <xdr:rowOff>22860</xdr:rowOff>
        </xdr:from>
        <xdr:to>
          <xdr:col>3</xdr:col>
          <xdr:colOff>731520</xdr:colOff>
          <xdr:row>4</xdr:row>
          <xdr:rowOff>15240</xdr:rowOff>
        </xdr:to>
        <xdr:sp macro="" textlink="">
          <xdr:nvSpPr>
            <xdr:cNvPr id="4099" name="CommandButton2" descr="Klik hier voor uitleg"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xdr:row>
          <xdr:rowOff>30480</xdr:rowOff>
        </xdr:from>
        <xdr:to>
          <xdr:col>3</xdr:col>
          <xdr:colOff>746760</xdr:colOff>
          <xdr:row>5</xdr:row>
          <xdr:rowOff>30480</xdr:rowOff>
        </xdr:to>
        <xdr:sp macro="" textlink="">
          <xdr:nvSpPr>
            <xdr:cNvPr id="4100" name="CommandButton3"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1440180</xdr:colOff>
          <xdr:row>10</xdr:row>
          <xdr:rowOff>15240</xdr:rowOff>
        </xdr:from>
        <xdr:to>
          <xdr:col>0</xdr:col>
          <xdr:colOff>2766060</xdr:colOff>
          <xdr:row>11</xdr:row>
          <xdr:rowOff>15240</xdr:rowOff>
        </xdr:to>
        <xdr:sp macro="" textlink="">
          <xdr:nvSpPr>
            <xdr:cNvPr id="4101" name="CommandButton4"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1440180</xdr:colOff>
          <xdr:row>11</xdr:row>
          <xdr:rowOff>45720</xdr:rowOff>
        </xdr:from>
        <xdr:to>
          <xdr:col>0</xdr:col>
          <xdr:colOff>2766060</xdr:colOff>
          <xdr:row>12</xdr:row>
          <xdr:rowOff>7620</xdr:rowOff>
        </xdr:to>
        <xdr:sp macro="" textlink="">
          <xdr:nvSpPr>
            <xdr:cNvPr id="4102" name="CommandButton5" hidden="1">
              <a:extLst>
                <a:ext uri="{63B3BB69-23CF-44E3-9099-C40C66FF867C}">
                  <a14:compatExt spid="_x0000_s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0</xdr:row>
          <xdr:rowOff>228600</xdr:rowOff>
        </xdr:from>
        <xdr:to>
          <xdr:col>9</xdr:col>
          <xdr:colOff>419100</xdr:colOff>
          <xdr:row>0</xdr:row>
          <xdr:rowOff>609600</xdr:rowOff>
        </xdr:to>
        <xdr:sp macro="" textlink="">
          <xdr:nvSpPr>
            <xdr:cNvPr id="4103" name="CommandButton6"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358140</xdr:colOff>
          <xdr:row>1</xdr:row>
          <xdr:rowOff>160020</xdr:rowOff>
        </xdr:from>
        <xdr:to>
          <xdr:col>17</xdr:col>
          <xdr:colOff>83820</xdr:colOff>
          <xdr:row>3</xdr:row>
          <xdr:rowOff>68580</xdr:rowOff>
        </xdr:to>
        <xdr:sp macro="" textlink="">
          <xdr:nvSpPr>
            <xdr:cNvPr id="6145" name="CommandButton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373380</xdr:colOff>
          <xdr:row>9</xdr:row>
          <xdr:rowOff>129540</xdr:rowOff>
        </xdr:from>
        <xdr:to>
          <xdr:col>17</xdr:col>
          <xdr:colOff>190500</xdr:colOff>
          <xdr:row>11</xdr:row>
          <xdr:rowOff>106680</xdr:rowOff>
        </xdr:to>
        <xdr:sp macro="" textlink="">
          <xdr:nvSpPr>
            <xdr:cNvPr id="6146" name="CommandButton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518160</xdr:colOff>
      <xdr:row>16</xdr:row>
      <xdr:rowOff>19050</xdr:rowOff>
    </xdr:from>
    <xdr:to>
      <xdr:col>14</xdr:col>
      <xdr:colOff>205740</xdr:colOff>
      <xdr:row>31</xdr:row>
      <xdr:rowOff>19050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563880</xdr:colOff>
          <xdr:row>20</xdr:row>
          <xdr:rowOff>38100</xdr:rowOff>
        </xdr:from>
        <xdr:to>
          <xdr:col>17</xdr:col>
          <xdr:colOff>167640</xdr:colOff>
          <xdr:row>21</xdr:row>
          <xdr:rowOff>167640</xdr:rowOff>
        </xdr:to>
        <xdr:sp macro="" textlink="">
          <xdr:nvSpPr>
            <xdr:cNvPr id="6147" name="CommandButton3"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c:userShapes xmlns:c="http://schemas.openxmlformats.org/drawingml/2006/chart">
  <cdr:relSizeAnchor xmlns:cdr="http://schemas.openxmlformats.org/drawingml/2006/chartDrawing">
    <cdr:from>
      <cdr:x>0.08371</cdr:x>
      <cdr:y>0</cdr:y>
    </cdr:from>
    <cdr:to>
      <cdr:x>0.99545</cdr:x>
      <cdr:y>0.49444</cdr:y>
    </cdr:to>
    <cdr:sp macro="" textlink="">
      <cdr:nvSpPr>
        <cdr:cNvPr id="4" name="Rechthoek 3"/>
        <cdr:cNvSpPr/>
      </cdr:nvSpPr>
      <cdr:spPr>
        <a:xfrm xmlns:a="http://schemas.openxmlformats.org/drawingml/2006/main">
          <a:off x="701040" y="0"/>
          <a:ext cx="7635240" cy="1356360"/>
        </a:xfrm>
        <a:prstGeom xmlns:a="http://schemas.openxmlformats.org/drawingml/2006/main" prst="rect">
          <a:avLst/>
        </a:prstGeom>
        <a:solidFill xmlns:a="http://schemas.openxmlformats.org/drawingml/2006/main">
          <a:srgbClr val="00B05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l-BE"/>
        </a:p>
      </cdr:txBody>
    </cdr:sp>
  </cdr:relSizeAnchor>
  <cdr:relSizeAnchor xmlns:cdr="http://schemas.openxmlformats.org/drawingml/2006/chartDrawing">
    <cdr:from>
      <cdr:x>0.08371</cdr:x>
      <cdr:y>0.49444</cdr:y>
    </cdr:from>
    <cdr:to>
      <cdr:x>0.99545</cdr:x>
      <cdr:y>0.98889</cdr:y>
    </cdr:to>
    <cdr:sp macro="" textlink="">
      <cdr:nvSpPr>
        <cdr:cNvPr id="5" name="Rechthoek 4"/>
        <cdr:cNvSpPr/>
      </cdr:nvSpPr>
      <cdr:spPr>
        <a:xfrm xmlns:a="http://schemas.openxmlformats.org/drawingml/2006/main">
          <a:off x="701040" y="1356360"/>
          <a:ext cx="7635240" cy="1356360"/>
        </a:xfrm>
        <a:prstGeom xmlns:a="http://schemas.openxmlformats.org/drawingml/2006/main" prst="rect">
          <a:avLst/>
        </a:prstGeom>
        <a:solidFill xmlns:a="http://schemas.openxmlformats.org/drawingml/2006/main">
          <a:srgbClr val="FF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l-BE"/>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372343</xdr:colOff>
      <xdr:row>48</xdr:row>
      <xdr:rowOff>77932</xdr:rowOff>
    </xdr:from>
    <xdr:to>
      <xdr:col>9</xdr:col>
      <xdr:colOff>718705</xdr:colOff>
      <xdr:row>67</xdr:row>
      <xdr:rowOff>155862</xdr:rowOff>
    </xdr:to>
    <xdr:graphicFrame macro="">
      <xdr:nvGraphicFramePr>
        <xdr:cNvPr id="5" name="Grafie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1496291</xdr:colOff>
      <xdr:row>23</xdr:row>
      <xdr:rowOff>193963</xdr:rowOff>
    </xdr:from>
    <xdr:to>
      <xdr:col>12</xdr:col>
      <xdr:colOff>604405</xdr:colOff>
      <xdr:row>39</xdr:row>
      <xdr:rowOff>50221</xdr:rowOff>
    </xdr:to>
    <xdr:graphicFrame macro="">
      <xdr:nvGraphicFramePr>
        <xdr:cNvPr id="6" name="Grafiek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9.emf"/><Relationship Id="rId3" Type="http://schemas.openxmlformats.org/officeDocument/2006/relationships/vmlDrawing" Target="../drawings/vmlDrawing1.vml"/><Relationship Id="rId7" Type="http://schemas.openxmlformats.org/officeDocument/2006/relationships/image" Target="../media/image6.emf"/><Relationship Id="rId12" Type="http://schemas.openxmlformats.org/officeDocument/2006/relationships/control" Target="../activeX/activeX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1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11.emf"/><Relationship Id="rId4" Type="http://schemas.openxmlformats.org/officeDocument/2006/relationships/control" Target="../activeX/activeX7.xml"/><Relationship Id="rId9" Type="http://schemas.openxmlformats.org/officeDocument/2006/relationships/image" Target="../media/image13.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FFCC99"/>
  </sheetPr>
  <dimension ref="B2:B17"/>
  <sheetViews>
    <sheetView workbookViewId="0">
      <selection activeCell="A2" sqref="A2"/>
    </sheetView>
  </sheetViews>
  <sheetFormatPr defaultColWidth="9.109375" defaultRowHeight="14.4" x14ac:dyDescent="0.3"/>
  <cols>
    <col min="1" max="1" width="17.109375" style="25" customWidth="1"/>
    <col min="2" max="2" width="112.6640625" style="25" customWidth="1"/>
    <col min="3" max="16384" width="9.109375" style="25"/>
  </cols>
  <sheetData>
    <row r="2" spans="2:2" ht="60" customHeight="1" x14ac:dyDescent="0.3">
      <c r="B2" s="16" t="s">
        <v>30</v>
      </c>
    </row>
    <row r="3" spans="2:2" ht="36" customHeight="1" x14ac:dyDescent="0.3">
      <c r="B3" s="17" t="s">
        <v>49</v>
      </c>
    </row>
    <row r="4" spans="2:2" x14ac:dyDescent="0.3">
      <c r="B4" s="67"/>
    </row>
    <row r="5" spans="2:2" x14ac:dyDescent="0.3">
      <c r="B5" s="67"/>
    </row>
    <row r="6" spans="2:2" x14ac:dyDescent="0.3">
      <c r="B6" s="68" t="s">
        <v>81</v>
      </c>
    </row>
    <row r="7" spans="2:2" x14ac:dyDescent="0.3">
      <c r="B7" s="68" t="s">
        <v>70</v>
      </c>
    </row>
    <row r="8" spans="2:2" x14ac:dyDescent="0.3">
      <c r="B8" s="68" t="s">
        <v>71</v>
      </c>
    </row>
    <row r="9" spans="2:2" x14ac:dyDescent="0.3">
      <c r="B9" s="68"/>
    </row>
    <row r="10" spans="2:2" x14ac:dyDescent="0.3">
      <c r="B10" s="68"/>
    </row>
    <row r="11" spans="2:2" x14ac:dyDescent="0.3">
      <c r="B11" s="68" t="s">
        <v>72</v>
      </c>
    </row>
    <row r="12" spans="2:2" x14ac:dyDescent="0.3">
      <c r="B12" s="68" t="s">
        <v>73</v>
      </c>
    </row>
    <row r="13" spans="2:2" x14ac:dyDescent="0.3">
      <c r="B13" s="68" t="s">
        <v>83</v>
      </c>
    </row>
    <row r="14" spans="2:2" x14ac:dyDescent="0.3">
      <c r="B14" s="68" t="s">
        <v>74</v>
      </c>
    </row>
    <row r="15" spans="2:2" x14ac:dyDescent="0.3">
      <c r="B15" s="68"/>
    </row>
    <row r="16" spans="2:2" x14ac:dyDescent="0.3">
      <c r="B16" s="67"/>
    </row>
    <row r="17" spans="2:2" ht="79.8" x14ac:dyDescent="0.3">
      <c r="B17" s="69" t="s">
        <v>75</v>
      </c>
    </row>
  </sheetData>
  <sheetProtection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FFCC99"/>
  </sheetPr>
  <dimension ref="B2:D24"/>
  <sheetViews>
    <sheetView topLeftCell="A13" zoomScaleNormal="100" workbookViewId="0">
      <selection activeCell="B13" sqref="B13"/>
    </sheetView>
  </sheetViews>
  <sheetFormatPr defaultColWidth="70.6640625" defaultRowHeight="17.399999999999999" x14ac:dyDescent="0.3"/>
  <cols>
    <col min="1" max="1" width="17.109375" style="15" customWidth="1"/>
    <col min="2" max="2" width="82.88671875" style="15" customWidth="1"/>
    <col min="3" max="3" width="22.6640625" style="15" bestFit="1" customWidth="1"/>
    <col min="4" max="16384" width="70.6640625" style="15"/>
  </cols>
  <sheetData>
    <row r="2" spans="2:3" ht="59.4" x14ac:dyDescent="0.3">
      <c r="B2" s="16" t="s">
        <v>84</v>
      </c>
    </row>
    <row r="3" spans="2:3" ht="34.799999999999997" x14ac:dyDescent="0.3">
      <c r="B3" s="23" t="s">
        <v>49</v>
      </c>
      <c r="C3" s="18"/>
    </row>
    <row r="5" spans="2:3" ht="16.95" customHeight="1" x14ac:dyDescent="0.3">
      <c r="B5" s="19"/>
      <c r="C5" s="18"/>
    </row>
    <row r="6" spans="2:3" hidden="1" x14ac:dyDescent="0.3">
      <c r="C6" s="18"/>
    </row>
    <row r="7" spans="2:3" ht="151.80000000000001" x14ac:dyDescent="0.3">
      <c r="B7" s="70" t="s">
        <v>85</v>
      </c>
      <c r="C7" s="18"/>
    </row>
    <row r="8" spans="2:3" x14ac:dyDescent="0.3">
      <c r="B8" s="20"/>
      <c r="C8" s="18"/>
    </row>
    <row r="9" spans="2:3" x14ac:dyDescent="0.3">
      <c r="B9" s="19" t="s">
        <v>29</v>
      </c>
    </row>
    <row r="10" spans="2:3" x14ac:dyDescent="0.3">
      <c r="C10" s="18"/>
    </row>
    <row r="11" spans="2:3" ht="223.8" customHeight="1" x14ac:dyDescent="0.3">
      <c r="B11" s="65" t="s">
        <v>93</v>
      </c>
    </row>
    <row r="12" spans="2:3" x14ac:dyDescent="0.3">
      <c r="B12" s="21"/>
      <c r="C12" s="18"/>
    </row>
    <row r="13" spans="2:3" x14ac:dyDescent="0.3">
      <c r="B13" s="19" t="s">
        <v>80</v>
      </c>
    </row>
    <row r="15" spans="2:3" ht="55.2" x14ac:dyDescent="0.3">
      <c r="B15" s="71" t="s">
        <v>94</v>
      </c>
    </row>
    <row r="16" spans="2:3" x14ac:dyDescent="0.3">
      <c r="B16" s="21"/>
    </row>
    <row r="17" spans="2:4" x14ac:dyDescent="0.3">
      <c r="B17" s="23" t="s">
        <v>38</v>
      </c>
    </row>
    <row r="18" spans="2:4" x14ac:dyDescent="0.3">
      <c r="B18" s="24"/>
    </row>
    <row r="19" spans="2:4" x14ac:dyDescent="0.3">
      <c r="B19" s="66" t="s">
        <v>76</v>
      </c>
      <c r="C19" s="25"/>
      <c r="D19" s="25"/>
    </row>
    <row r="20" spans="2:4" x14ac:dyDescent="0.3">
      <c r="B20" s="21"/>
    </row>
    <row r="21" spans="2:4" x14ac:dyDescent="0.3">
      <c r="B21" s="71"/>
    </row>
    <row r="22" spans="2:4" x14ac:dyDescent="0.3">
      <c r="B22" s="22"/>
    </row>
    <row r="24" spans="2:4" x14ac:dyDescent="0.3">
      <c r="B24" s="25"/>
    </row>
  </sheetData>
  <sheetProtection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F17"/>
  <sheetViews>
    <sheetView workbookViewId="0">
      <selection activeCell="B4" sqref="B4"/>
    </sheetView>
  </sheetViews>
  <sheetFormatPr defaultRowHeight="13.8" x14ac:dyDescent="0.25"/>
  <cols>
    <col min="1" max="1" width="54.6640625" style="75" customWidth="1"/>
    <col min="2" max="2" width="13.5546875" style="75" customWidth="1"/>
    <col min="3" max="3" width="14.44140625" style="75" customWidth="1"/>
    <col min="4" max="4" width="16.5546875" style="75" customWidth="1"/>
    <col min="5" max="5" width="10.21875" style="75" customWidth="1"/>
    <col min="6" max="11" width="10.44140625" style="75" bestFit="1" customWidth="1"/>
    <col min="12" max="16384" width="8.88671875" style="75"/>
  </cols>
  <sheetData>
    <row r="1" spans="1:32" s="83" customFormat="1" ht="71.400000000000006" customHeight="1" x14ac:dyDescent="0.25">
      <c r="A1" s="84" t="s">
        <v>103</v>
      </c>
    </row>
    <row r="2" spans="1:32" ht="18" customHeight="1" x14ac:dyDescent="0.25"/>
    <row r="3" spans="1:32" ht="19.2" customHeight="1" x14ac:dyDescent="0.25">
      <c r="A3" s="75" t="s">
        <v>86</v>
      </c>
      <c r="B3" s="88"/>
    </row>
    <row r="4" spans="1:32" ht="22.8" customHeight="1" x14ac:dyDescent="0.25">
      <c r="A4" s="75" t="s">
        <v>87</v>
      </c>
      <c r="B4" s="88"/>
    </row>
    <row r="5" spans="1:32" ht="22.2" customHeight="1" x14ac:dyDescent="0.25">
      <c r="A5" s="75" t="s">
        <v>91</v>
      </c>
      <c r="B5" s="88"/>
    </row>
    <row r="10" spans="1:32" x14ac:dyDescent="0.25">
      <c r="B10" s="75">
        <v>1</v>
      </c>
      <c r="C10" s="75">
        <v>2</v>
      </c>
      <c r="D10" s="75">
        <v>3</v>
      </c>
      <c r="E10" s="75">
        <v>4</v>
      </c>
      <c r="F10" s="75">
        <v>5</v>
      </c>
      <c r="G10" s="75">
        <v>6</v>
      </c>
      <c r="H10" s="75">
        <v>7</v>
      </c>
      <c r="I10" s="75">
        <v>8</v>
      </c>
      <c r="J10" s="75">
        <v>9</v>
      </c>
      <c r="K10" s="75">
        <v>10</v>
      </c>
      <c r="L10" s="75">
        <v>11</v>
      </c>
      <c r="M10" s="75">
        <v>12</v>
      </c>
      <c r="N10" s="75">
        <v>13</v>
      </c>
      <c r="O10" s="75">
        <v>14</v>
      </c>
      <c r="P10" s="75">
        <v>15</v>
      </c>
      <c r="Q10" s="75">
        <v>16</v>
      </c>
      <c r="R10" s="75">
        <v>17</v>
      </c>
      <c r="S10" s="75">
        <v>18</v>
      </c>
      <c r="T10" s="75">
        <v>19</v>
      </c>
      <c r="U10" s="75">
        <v>20</v>
      </c>
      <c r="V10" s="75">
        <v>21</v>
      </c>
      <c r="W10" s="75">
        <v>22</v>
      </c>
      <c r="X10" s="75">
        <v>23</v>
      </c>
      <c r="Y10" s="75">
        <v>24</v>
      </c>
      <c r="Z10" s="75">
        <v>25</v>
      </c>
      <c r="AA10" s="75">
        <v>26</v>
      </c>
      <c r="AB10" s="75">
        <v>27</v>
      </c>
      <c r="AC10" s="75">
        <v>28</v>
      </c>
      <c r="AD10" s="75">
        <v>29</v>
      </c>
      <c r="AE10" s="75">
        <v>30</v>
      </c>
    </row>
    <row r="11" spans="1:32" ht="22.8" customHeight="1" x14ac:dyDescent="0.3">
      <c r="A11" s="78" t="s">
        <v>92</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row>
    <row r="12" spans="1:32" ht="24" customHeight="1" x14ac:dyDescent="0.3">
      <c r="A12" s="75" t="s">
        <v>88</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row>
    <row r="13" spans="1:32" x14ac:dyDescent="0.25">
      <c r="A13" s="76" t="s">
        <v>89</v>
      </c>
      <c r="B13" s="77">
        <f>B11-B12</f>
        <v>0</v>
      </c>
      <c r="C13" s="77">
        <f t="shared" ref="C13:AE13" si="0">C11-C12</f>
        <v>0</v>
      </c>
      <c r="D13" s="77">
        <f t="shared" si="0"/>
        <v>0</v>
      </c>
      <c r="E13" s="77">
        <f t="shared" si="0"/>
        <v>0</v>
      </c>
      <c r="F13" s="77">
        <f t="shared" si="0"/>
        <v>0</v>
      </c>
      <c r="G13" s="77">
        <f t="shared" si="0"/>
        <v>0</v>
      </c>
      <c r="H13" s="77">
        <f t="shared" si="0"/>
        <v>0</v>
      </c>
      <c r="I13" s="77">
        <f t="shared" si="0"/>
        <v>0</v>
      </c>
      <c r="J13" s="77">
        <f t="shared" si="0"/>
        <v>0</v>
      </c>
      <c r="K13" s="77">
        <f t="shared" si="0"/>
        <v>0</v>
      </c>
      <c r="L13" s="77">
        <f t="shared" si="0"/>
        <v>0</v>
      </c>
      <c r="M13" s="77">
        <f t="shared" si="0"/>
        <v>0</v>
      </c>
      <c r="N13" s="77">
        <f t="shared" si="0"/>
        <v>0</v>
      </c>
      <c r="O13" s="77">
        <f t="shared" si="0"/>
        <v>0</v>
      </c>
      <c r="P13" s="77">
        <f t="shared" si="0"/>
        <v>0</v>
      </c>
      <c r="Q13" s="77">
        <f t="shared" si="0"/>
        <v>0</v>
      </c>
      <c r="R13" s="77">
        <f t="shared" si="0"/>
        <v>0</v>
      </c>
      <c r="S13" s="77">
        <f t="shared" si="0"/>
        <v>0</v>
      </c>
      <c r="T13" s="77">
        <f t="shared" si="0"/>
        <v>0</v>
      </c>
      <c r="U13" s="77">
        <f t="shared" si="0"/>
        <v>0</v>
      </c>
      <c r="V13" s="77">
        <f t="shared" si="0"/>
        <v>0</v>
      </c>
      <c r="W13" s="77">
        <f t="shared" si="0"/>
        <v>0</v>
      </c>
      <c r="X13" s="77">
        <f t="shared" si="0"/>
        <v>0</v>
      </c>
      <c r="Y13" s="77">
        <f t="shared" si="0"/>
        <v>0</v>
      </c>
      <c r="Z13" s="77">
        <f t="shared" si="0"/>
        <v>0</v>
      </c>
      <c r="AA13" s="77">
        <f t="shared" si="0"/>
        <v>0</v>
      </c>
      <c r="AB13" s="77">
        <f t="shared" si="0"/>
        <v>0</v>
      </c>
      <c r="AC13" s="77">
        <f t="shared" si="0"/>
        <v>0</v>
      </c>
      <c r="AD13" s="77">
        <f t="shared" si="0"/>
        <v>0</v>
      </c>
      <c r="AE13" s="77">
        <f t="shared" si="0"/>
        <v>0</v>
      </c>
    </row>
    <row r="14" spans="1:32" x14ac:dyDescent="0.25">
      <c r="A14" s="76" t="s">
        <v>90</v>
      </c>
      <c r="B14" s="77">
        <f>B13/(1+$B4)^B10</f>
        <v>0</v>
      </c>
      <c r="C14" s="77">
        <f t="shared" ref="C14:AE14" si="1">C13/(1+$B4)^C10</f>
        <v>0</v>
      </c>
      <c r="D14" s="77">
        <f t="shared" si="1"/>
        <v>0</v>
      </c>
      <c r="E14" s="77">
        <f t="shared" si="1"/>
        <v>0</v>
      </c>
      <c r="F14" s="77">
        <f t="shared" si="1"/>
        <v>0</v>
      </c>
      <c r="G14" s="77">
        <f t="shared" si="1"/>
        <v>0</v>
      </c>
      <c r="H14" s="77">
        <f t="shared" si="1"/>
        <v>0</v>
      </c>
      <c r="I14" s="77">
        <f t="shared" si="1"/>
        <v>0</v>
      </c>
      <c r="J14" s="77">
        <f t="shared" si="1"/>
        <v>0</v>
      </c>
      <c r="K14" s="77">
        <f t="shared" si="1"/>
        <v>0</v>
      </c>
      <c r="L14" s="77">
        <f t="shared" si="1"/>
        <v>0</v>
      </c>
      <c r="M14" s="77">
        <f t="shared" si="1"/>
        <v>0</v>
      </c>
      <c r="N14" s="77">
        <f t="shared" si="1"/>
        <v>0</v>
      </c>
      <c r="O14" s="77">
        <f t="shared" si="1"/>
        <v>0</v>
      </c>
      <c r="P14" s="77">
        <f t="shared" si="1"/>
        <v>0</v>
      </c>
      <c r="Q14" s="77">
        <f t="shared" si="1"/>
        <v>0</v>
      </c>
      <c r="R14" s="77">
        <f t="shared" si="1"/>
        <v>0</v>
      </c>
      <c r="S14" s="77">
        <f t="shared" si="1"/>
        <v>0</v>
      </c>
      <c r="T14" s="77">
        <f t="shared" si="1"/>
        <v>0</v>
      </c>
      <c r="U14" s="77">
        <f t="shared" si="1"/>
        <v>0</v>
      </c>
      <c r="V14" s="77">
        <f t="shared" si="1"/>
        <v>0</v>
      </c>
      <c r="W14" s="77">
        <f t="shared" si="1"/>
        <v>0</v>
      </c>
      <c r="X14" s="77">
        <f t="shared" si="1"/>
        <v>0</v>
      </c>
      <c r="Y14" s="77">
        <f t="shared" si="1"/>
        <v>0</v>
      </c>
      <c r="Z14" s="77">
        <f t="shared" si="1"/>
        <v>0</v>
      </c>
      <c r="AA14" s="77">
        <f t="shared" si="1"/>
        <v>0</v>
      </c>
      <c r="AB14" s="77">
        <f t="shared" si="1"/>
        <v>0</v>
      </c>
      <c r="AC14" s="77">
        <f t="shared" si="1"/>
        <v>0</v>
      </c>
      <c r="AD14" s="77">
        <f t="shared" si="1"/>
        <v>0</v>
      </c>
      <c r="AE14" s="77">
        <f t="shared" si="1"/>
        <v>0</v>
      </c>
    </row>
    <row r="15" spans="1:32" s="76" customFormat="1" x14ac:dyDescent="0.25">
      <c r="B15" s="76">
        <v>0</v>
      </c>
      <c r="C15" s="76">
        <v>1</v>
      </c>
      <c r="D15" s="76">
        <v>2</v>
      </c>
      <c r="E15" s="76">
        <v>3</v>
      </c>
      <c r="F15" s="76">
        <v>4</v>
      </c>
      <c r="G15" s="76">
        <v>5</v>
      </c>
      <c r="H15" s="76">
        <v>6</v>
      </c>
      <c r="I15" s="76">
        <v>7</v>
      </c>
      <c r="J15" s="76">
        <v>8</v>
      </c>
      <c r="K15" s="76">
        <v>9</v>
      </c>
      <c r="L15" s="76">
        <v>10</v>
      </c>
      <c r="M15" s="76">
        <v>11</v>
      </c>
      <c r="N15" s="76">
        <v>12</v>
      </c>
      <c r="O15" s="76">
        <v>13</v>
      </c>
      <c r="P15" s="76">
        <v>14</v>
      </c>
      <c r="Q15" s="76">
        <v>15</v>
      </c>
      <c r="R15" s="76">
        <v>16</v>
      </c>
      <c r="S15" s="76">
        <v>17</v>
      </c>
      <c r="T15" s="76">
        <v>18</v>
      </c>
      <c r="U15" s="76">
        <v>19</v>
      </c>
      <c r="V15" s="76">
        <v>20</v>
      </c>
      <c r="W15" s="76">
        <v>21</v>
      </c>
      <c r="X15" s="76">
        <v>22</v>
      </c>
      <c r="Y15" s="76">
        <v>23</v>
      </c>
      <c r="Z15" s="76">
        <v>24</v>
      </c>
      <c r="AA15" s="76">
        <v>25</v>
      </c>
      <c r="AB15" s="76">
        <v>26</v>
      </c>
      <c r="AC15" s="76">
        <v>27</v>
      </c>
      <c r="AD15" s="76">
        <v>28</v>
      </c>
      <c r="AE15" s="76">
        <v>29</v>
      </c>
      <c r="AF15" s="76">
        <v>30</v>
      </c>
    </row>
    <row r="16" spans="1:32" s="82" customFormat="1" x14ac:dyDescent="0.25">
      <c r="A16" s="82" t="s">
        <v>100</v>
      </c>
      <c r="B16" s="82">
        <f>-B3</f>
        <v>0</v>
      </c>
      <c r="C16" s="82">
        <f>B13</f>
        <v>0</v>
      </c>
      <c r="D16" s="82">
        <f t="shared" ref="D16:AF16" si="2">C13</f>
        <v>0</v>
      </c>
      <c r="E16" s="82">
        <f t="shared" si="2"/>
        <v>0</v>
      </c>
      <c r="F16" s="82">
        <f t="shared" si="2"/>
        <v>0</v>
      </c>
      <c r="G16" s="82">
        <f t="shared" si="2"/>
        <v>0</v>
      </c>
      <c r="H16" s="82">
        <f t="shared" si="2"/>
        <v>0</v>
      </c>
      <c r="I16" s="82">
        <f t="shared" si="2"/>
        <v>0</v>
      </c>
      <c r="J16" s="82">
        <f t="shared" si="2"/>
        <v>0</v>
      </c>
      <c r="K16" s="82">
        <f t="shared" si="2"/>
        <v>0</v>
      </c>
      <c r="L16" s="82">
        <f t="shared" si="2"/>
        <v>0</v>
      </c>
      <c r="M16" s="82">
        <f t="shared" si="2"/>
        <v>0</v>
      </c>
      <c r="N16" s="82">
        <f t="shared" si="2"/>
        <v>0</v>
      </c>
      <c r="O16" s="82">
        <f t="shared" si="2"/>
        <v>0</v>
      </c>
      <c r="P16" s="82">
        <f t="shared" si="2"/>
        <v>0</v>
      </c>
      <c r="Q16" s="82">
        <f t="shared" si="2"/>
        <v>0</v>
      </c>
      <c r="R16" s="82">
        <f t="shared" si="2"/>
        <v>0</v>
      </c>
      <c r="S16" s="82">
        <f t="shared" si="2"/>
        <v>0</v>
      </c>
      <c r="T16" s="82">
        <f t="shared" si="2"/>
        <v>0</v>
      </c>
      <c r="U16" s="82">
        <f t="shared" si="2"/>
        <v>0</v>
      </c>
      <c r="V16" s="82">
        <f t="shared" si="2"/>
        <v>0</v>
      </c>
      <c r="W16" s="82">
        <f t="shared" si="2"/>
        <v>0</v>
      </c>
      <c r="X16" s="82">
        <f t="shared" si="2"/>
        <v>0</v>
      </c>
      <c r="Y16" s="82">
        <f t="shared" si="2"/>
        <v>0</v>
      </c>
      <c r="Z16" s="82">
        <f t="shared" si="2"/>
        <v>0</v>
      </c>
      <c r="AA16" s="82">
        <f t="shared" si="2"/>
        <v>0</v>
      </c>
      <c r="AB16" s="82">
        <f t="shared" si="2"/>
        <v>0</v>
      </c>
      <c r="AC16" s="82">
        <f t="shared" si="2"/>
        <v>0</v>
      </c>
      <c r="AD16" s="82">
        <f t="shared" si="2"/>
        <v>0</v>
      </c>
      <c r="AE16" s="82">
        <f t="shared" si="2"/>
        <v>0</v>
      </c>
      <c r="AF16" s="82">
        <f t="shared" si="2"/>
        <v>0</v>
      </c>
    </row>
    <row r="17" spans="1:32" s="76" customFormat="1" x14ac:dyDescent="0.25">
      <c r="A17" s="76" t="s">
        <v>101</v>
      </c>
      <c r="B17" s="82">
        <f>B16</f>
        <v>0</v>
      </c>
      <c r="C17" s="82">
        <f t="shared" ref="C17:AF17" si="3">B17+B14</f>
        <v>0</v>
      </c>
      <c r="D17" s="82">
        <f t="shared" si="3"/>
        <v>0</v>
      </c>
      <c r="E17" s="82">
        <f t="shared" si="3"/>
        <v>0</v>
      </c>
      <c r="F17" s="82">
        <f t="shared" si="3"/>
        <v>0</v>
      </c>
      <c r="G17" s="82">
        <f t="shared" si="3"/>
        <v>0</v>
      </c>
      <c r="H17" s="82">
        <f t="shared" si="3"/>
        <v>0</v>
      </c>
      <c r="I17" s="82">
        <f t="shared" si="3"/>
        <v>0</v>
      </c>
      <c r="J17" s="82">
        <f t="shared" si="3"/>
        <v>0</v>
      </c>
      <c r="K17" s="82">
        <f t="shared" si="3"/>
        <v>0</v>
      </c>
      <c r="L17" s="82">
        <f t="shared" si="3"/>
        <v>0</v>
      </c>
      <c r="M17" s="82">
        <f t="shared" si="3"/>
        <v>0</v>
      </c>
      <c r="N17" s="82">
        <f t="shared" si="3"/>
        <v>0</v>
      </c>
      <c r="O17" s="82">
        <f t="shared" si="3"/>
        <v>0</v>
      </c>
      <c r="P17" s="82">
        <f t="shared" si="3"/>
        <v>0</v>
      </c>
      <c r="Q17" s="82">
        <f t="shared" si="3"/>
        <v>0</v>
      </c>
      <c r="R17" s="82">
        <f t="shared" si="3"/>
        <v>0</v>
      </c>
      <c r="S17" s="82">
        <f t="shared" si="3"/>
        <v>0</v>
      </c>
      <c r="T17" s="82">
        <f t="shared" si="3"/>
        <v>0</v>
      </c>
      <c r="U17" s="82">
        <f t="shared" si="3"/>
        <v>0</v>
      </c>
      <c r="V17" s="82">
        <f t="shared" si="3"/>
        <v>0</v>
      </c>
      <c r="W17" s="82">
        <f t="shared" si="3"/>
        <v>0</v>
      </c>
      <c r="X17" s="82">
        <f t="shared" si="3"/>
        <v>0</v>
      </c>
      <c r="Y17" s="82">
        <f t="shared" si="3"/>
        <v>0</v>
      </c>
      <c r="Z17" s="82">
        <f t="shared" si="3"/>
        <v>0</v>
      </c>
      <c r="AA17" s="82">
        <f t="shared" si="3"/>
        <v>0</v>
      </c>
      <c r="AB17" s="82">
        <f t="shared" si="3"/>
        <v>0</v>
      </c>
      <c r="AC17" s="82">
        <f t="shared" si="3"/>
        <v>0</v>
      </c>
      <c r="AD17" s="82">
        <f t="shared" si="3"/>
        <v>0</v>
      </c>
      <c r="AE17" s="82">
        <f t="shared" si="3"/>
        <v>0</v>
      </c>
      <c r="AF17" s="82">
        <f t="shared" si="3"/>
        <v>0</v>
      </c>
    </row>
  </sheetData>
  <sheetProtection algorithmName="SHA-512" hashValue="QbMXoqWfQjyRXZi5oEAuHkScnpV2CEgRVtDw2zyiLplgbWxtNmNORWm/YfqcE0q64gAg2JK9OR36ecBIPpRpsA==" saltValue="7l5K39MkE+ycMSDahnPzUg==" spinCount="100000" sheet="1" objects="1" scenarios="1" selectLockedCells="1"/>
  <pageMargins left="0.7" right="0.7" top="0.75" bottom="0.75" header="0.3" footer="0.3"/>
  <pageSetup paperSize="9" orientation="portrait" horizontalDpi="300" verticalDpi="300" r:id="rId1"/>
  <drawing r:id="rId2"/>
  <legacyDrawing r:id="rId3"/>
  <controls>
    <mc:AlternateContent xmlns:mc="http://schemas.openxmlformats.org/markup-compatibility/2006">
      <mc:Choice Requires="x14">
        <control shapeId="4103" r:id="rId4" name="CommandButton6">
          <controlPr defaultSize="0" autoLine="0" autoPict="0" r:id="rId5">
            <anchor moveWithCells="1">
              <from>
                <xdr:col>4</xdr:col>
                <xdr:colOff>236220</xdr:colOff>
                <xdr:row>0</xdr:row>
                <xdr:rowOff>228600</xdr:rowOff>
              </from>
              <to>
                <xdr:col>9</xdr:col>
                <xdr:colOff>419100</xdr:colOff>
                <xdr:row>0</xdr:row>
                <xdr:rowOff>609600</xdr:rowOff>
              </to>
            </anchor>
          </controlPr>
        </control>
      </mc:Choice>
      <mc:Fallback>
        <control shapeId="4103" r:id="rId4" name="CommandButton6"/>
      </mc:Fallback>
    </mc:AlternateContent>
    <mc:AlternateContent xmlns:mc="http://schemas.openxmlformats.org/markup-compatibility/2006">
      <mc:Choice Requires="x14">
        <control shapeId="4098" r:id="rId6" name="CommandButton1">
          <controlPr defaultSize="0" autoLine="0" altText="Klik voor uitleg" r:id="rId7">
            <anchor moveWithCells="1">
              <from>
                <xdr:col>2</xdr:col>
                <xdr:colOff>53340</xdr:colOff>
                <xdr:row>1</xdr:row>
                <xdr:rowOff>213360</xdr:rowOff>
              </from>
              <to>
                <xdr:col>3</xdr:col>
                <xdr:colOff>754380</xdr:colOff>
                <xdr:row>3</xdr:row>
                <xdr:rowOff>30480</xdr:rowOff>
              </to>
            </anchor>
          </controlPr>
        </control>
      </mc:Choice>
      <mc:Fallback>
        <control shapeId="4098" r:id="rId6" name="CommandButton1"/>
      </mc:Fallback>
    </mc:AlternateContent>
    <mc:AlternateContent xmlns:mc="http://schemas.openxmlformats.org/markup-compatibility/2006">
      <mc:Choice Requires="x14">
        <control shapeId="4099" r:id="rId8" name="CommandButton2">
          <controlPr locked="0" defaultSize="0" autoLine="0" autoPict="0" altText="Klik hier voor uitleg" r:id="rId9">
            <anchor moveWithCells="1">
              <from>
                <xdr:col>2</xdr:col>
                <xdr:colOff>45720</xdr:colOff>
                <xdr:row>3</xdr:row>
                <xdr:rowOff>22860</xdr:rowOff>
              </from>
              <to>
                <xdr:col>3</xdr:col>
                <xdr:colOff>731520</xdr:colOff>
                <xdr:row>4</xdr:row>
                <xdr:rowOff>15240</xdr:rowOff>
              </to>
            </anchor>
          </controlPr>
        </control>
      </mc:Choice>
      <mc:Fallback>
        <control shapeId="4099" r:id="rId8" name="CommandButton2"/>
      </mc:Fallback>
    </mc:AlternateContent>
    <mc:AlternateContent xmlns:mc="http://schemas.openxmlformats.org/markup-compatibility/2006">
      <mc:Choice Requires="x14">
        <control shapeId="4100" r:id="rId10" name="CommandButton3">
          <controlPr defaultSize="0" autoLine="0" autoPict="0" r:id="rId11">
            <anchor moveWithCells="1">
              <from>
                <xdr:col>2</xdr:col>
                <xdr:colOff>53340</xdr:colOff>
                <xdr:row>4</xdr:row>
                <xdr:rowOff>30480</xdr:rowOff>
              </from>
              <to>
                <xdr:col>3</xdr:col>
                <xdr:colOff>746760</xdr:colOff>
                <xdr:row>5</xdr:row>
                <xdr:rowOff>30480</xdr:rowOff>
              </to>
            </anchor>
          </controlPr>
        </control>
      </mc:Choice>
      <mc:Fallback>
        <control shapeId="4100" r:id="rId10" name="CommandButton3"/>
      </mc:Fallback>
    </mc:AlternateContent>
    <mc:AlternateContent xmlns:mc="http://schemas.openxmlformats.org/markup-compatibility/2006">
      <mc:Choice Requires="x14">
        <control shapeId="4101" r:id="rId12" name="CommandButton4">
          <controlPr defaultSize="0" autoLine="0" r:id="rId13">
            <anchor moveWithCells="1">
              <from>
                <xdr:col>0</xdr:col>
                <xdr:colOff>1440180</xdr:colOff>
                <xdr:row>10</xdr:row>
                <xdr:rowOff>15240</xdr:rowOff>
              </from>
              <to>
                <xdr:col>0</xdr:col>
                <xdr:colOff>2766060</xdr:colOff>
                <xdr:row>11</xdr:row>
                <xdr:rowOff>15240</xdr:rowOff>
              </to>
            </anchor>
          </controlPr>
        </control>
      </mc:Choice>
      <mc:Fallback>
        <control shapeId="4101" r:id="rId12" name="CommandButton4"/>
      </mc:Fallback>
    </mc:AlternateContent>
    <mc:AlternateContent xmlns:mc="http://schemas.openxmlformats.org/markup-compatibility/2006">
      <mc:Choice Requires="x14">
        <control shapeId="4102" r:id="rId14" name="CommandButton5">
          <controlPr defaultSize="0" autoLine="0" r:id="rId15">
            <anchor moveWithCells="1">
              <from>
                <xdr:col>0</xdr:col>
                <xdr:colOff>1440180</xdr:colOff>
                <xdr:row>11</xdr:row>
                <xdr:rowOff>45720</xdr:rowOff>
              </from>
              <to>
                <xdr:col>0</xdr:col>
                <xdr:colOff>2766060</xdr:colOff>
                <xdr:row>12</xdr:row>
                <xdr:rowOff>7620</xdr:rowOff>
              </to>
            </anchor>
          </controlPr>
        </control>
      </mc:Choice>
      <mc:Fallback>
        <control shapeId="4102" r:id="rId14" name="CommandButton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D15"/>
  <sheetViews>
    <sheetView tabSelected="1" topLeftCell="A13" zoomScaleNormal="100" workbookViewId="0">
      <selection activeCell="K35" sqref="K35"/>
    </sheetView>
  </sheetViews>
  <sheetFormatPr defaultRowHeight="14.4" x14ac:dyDescent="0.3"/>
  <cols>
    <col min="1" max="3" width="8.88671875" style="25"/>
    <col min="4" max="4" width="11.109375" style="25" customWidth="1"/>
    <col min="5" max="16384" width="8.88671875" style="25"/>
  </cols>
  <sheetData>
    <row r="1" spans="1:4" s="79" customFormat="1" ht="25.8" customHeight="1" x14ac:dyDescent="0.3">
      <c r="A1" s="80" t="s">
        <v>95</v>
      </c>
    </row>
    <row r="3" spans="1:4" x14ac:dyDescent="0.3">
      <c r="A3" s="25" t="s">
        <v>96</v>
      </c>
      <c r="D3" s="25">
        <f>(Invoer!B14+Invoer!C14+Invoer!D14+Invoer!E14+Invoer!F14+Invoer!G14+Invoer!H14+Invoer!I14+Invoer!J14+Invoer!K14+Invoer!L14+Invoer!M14+Invoer!N14+Invoer!O14+Invoer!Q14+Invoer!R14+Invoer!S14+Invoer!T14+Invoer!U14+Invoer!V14+Invoer!W14+Invoer!X14+Invoer!Y14+Invoer!Z14+Invoer!AA14+Invoer!AB14+Invoer!AC14+Invoer!AD14+Invoer!AE14)-Invoer!B3</f>
        <v>0</v>
      </c>
    </row>
    <row r="6" spans="1:4" x14ac:dyDescent="0.3">
      <c r="A6" s="25" t="s">
        <v>97</v>
      </c>
      <c r="D6" s="25" t="str">
        <f>IF(D3&lt;=0,"Er is een grote kans dat deze investering economisch NIET rendabel is",IF(AND(0&lt;D3,D3&lt;5000),"Er is een redelijke kans dat deze investering economisch rendabel zal zijn","Er is een grote kans dat deze investering economisch rendabel zal zijn"))</f>
        <v>Er is een grote kans dat deze investering economisch NIET rendabel is</v>
      </c>
    </row>
    <row r="8" spans="1:4" s="79" customFormat="1" ht="25.8" customHeight="1" x14ac:dyDescent="0.3">
      <c r="A8" s="80" t="s">
        <v>98</v>
      </c>
    </row>
    <row r="10" spans="1:4" x14ac:dyDescent="0.3">
      <c r="A10" s="25" t="s">
        <v>99</v>
      </c>
      <c r="D10" s="81" t="e">
        <f>IRR(Invoer!B16:AF16)</f>
        <v>#NUM!</v>
      </c>
    </row>
    <row r="13" spans="1:4" x14ac:dyDescent="0.3">
      <c r="A13" s="25" t="s">
        <v>97</v>
      </c>
      <c r="D13" s="25" t="e">
        <f>IF(D10 &lt; Invoer!B5,"Er is een grote kans dat deze investering economisch NIET rendabel is",IF(AND(Invoer!B5 &lt; D10,D10&lt;=(Invoer!B5 + 0.02)),"Er is een redelijke kans dat deze investering economisch rendabel zal zijn","Er is een grote kans dat deze investering economisch rendabel zal zijn"))</f>
        <v>#NUM!</v>
      </c>
    </row>
    <row r="15" spans="1:4" s="79" customFormat="1" ht="25.8" customHeight="1" x14ac:dyDescent="0.3">
      <c r="A15" s="80" t="s">
        <v>102</v>
      </c>
    </row>
  </sheetData>
  <conditionalFormatting sqref="D3">
    <cfRule type="cellIs" dxfId="53" priority="5" operator="greaterThanOrEqual">
      <formula>5000</formula>
    </cfRule>
    <cfRule type="cellIs" dxfId="52" priority="6" operator="lessThan">
      <formula>0</formula>
    </cfRule>
    <cfRule type="cellIs" dxfId="51" priority="7" operator="between">
      <formula>0</formula>
      <formula>5000</formula>
    </cfRule>
    <cfRule type="cellIs" dxfId="50" priority="8" operator="between">
      <formula>0</formula>
      <formula>5000</formula>
    </cfRule>
    <cfRule type="colorScale" priority="9">
      <colorScale>
        <cfvo type="formula" val="&quot;&lt;0&quot;"/>
        <cfvo type="formula" val="&quot;0-5000&quot;"/>
        <cfvo type="formula" val="&quot;&gt;5000&quot;"/>
        <color rgb="FFF8696B"/>
        <color rgb="FFFFEB84"/>
        <color rgb="FF63BE7B"/>
      </colorScale>
    </cfRule>
    <cfRule type="cellIs" dxfId="49" priority="12" operator="greaterThan">
      <formula>0</formula>
    </cfRule>
  </conditionalFormatting>
  <conditionalFormatting sqref="D10">
    <cfRule type="cellIs" dxfId="48" priority="4" operator="lessThanOrEqual">
      <formula>0</formula>
    </cfRule>
  </conditionalFormatting>
  <pageMargins left="0.7" right="0.7" top="0.75" bottom="0.75" header="0.3" footer="0.3"/>
  <pageSetup paperSize="9" orientation="portrait" horizontalDpi="300" verticalDpi="300" r:id="rId1"/>
  <drawing r:id="rId2"/>
  <legacyDrawing r:id="rId3"/>
  <controls>
    <mc:AlternateContent xmlns:mc="http://schemas.openxmlformats.org/markup-compatibility/2006">
      <mc:Choice Requires="x14">
        <control shapeId="6145" r:id="rId4" name="CommandButton1">
          <controlPr defaultSize="0" autoLine="0" r:id="rId5">
            <anchor moveWithCells="1">
              <from>
                <xdr:col>14</xdr:col>
                <xdr:colOff>358140</xdr:colOff>
                <xdr:row>1</xdr:row>
                <xdr:rowOff>160020</xdr:rowOff>
              </from>
              <to>
                <xdr:col>17</xdr:col>
                <xdr:colOff>83820</xdr:colOff>
                <xdr:row>3</xdr:row>
                <xdr:rowOff>68580</xdr:rowOff>
              </to>
            </anchor>
          </controlPr>
        </control>
      </mc:Choice>
      <mc:Fallback>
        <control shapeId="6145" r:id="rId4" name="CommandButton1"/>
      </mc:Fallback>
    </mc:AlternateContent>
    <mc:AlternateContent xmlns:mc="http://schemas.openxmlformats.org/markup-compatibility/2006">
      <mc:Choice Requires="x14">
        <control shapeId="6146" r:id="rId6" name="CommandButton2">
          <controlPr defaultSize="0" autoLine="0" r:id="rId7">
            <anchor moveWithCells="1">
              <from>
                <xdr:col>14</xdr:col>
                <xdr:colOff>373380</xdr:colOff>
                <xdr:row>9</xdr:row>
                <xdr:rowOff>129540</xdr:rowOff>
              </from>
              <to>
                <xdr:col>17</xdr:col>
                <xdr:colOff>190500</xdr:colOff>
                <xdr:row>11</xdr:row>
                <xdr:rowOff>106680</xdr:rowOff>
              </to>
            </anchor>
          </controlPr>
        </control>
      </mc:Choice>
      <mc:Fallback>
        <control shapeId="6146" r:id="rId6" name="CommandButton2"/>
      </mc:Fallback>
    </mc:AlternateContent>
    <mc:AlternateContent xmlns:mc="http://schemas.openxmlformats.org/markup-compatibility/2006">
      <mc:Choice Requires="x14">
        <control shapeId="6147" r:id="rId8" name="CommandButton3">
          <controlPr defaultSize="0" autoLine="0" r:id="rId9">
            <anchor moveWithCells="1">
              <from>
                <xdr:col>14</xdr:col>
                <xdr:colOff>563880</xdr:colOff>
                <xdr:row>20</xdr:row>
                <xdr:rowOff>38100</xdr:rowOff>
              </from>
              <to>
                <xdr:col>17</xdr:col>
                <xdr:colOff>167640</xdr:colOff>
                <xdr:row>21</xdr:row>
                <xdr:rowOff>167640</xdr:rowOff>
              </to>
            </anchor>
          </controlPr>
        </control>
      </mc:Choice>
      <mc:Fallback>
        <control shapeId="6147" r:id="rId8" name="CommandButton3"/>
      </mc:Fallback>
    </mc:AlternateContent>
  </controls>
  <extLst>
    <ext xmlns:x14="http://schemas.microsoft.com/office/spreadsheetml/2009/9/main" uri="{78C0D931-6437-407d-A8EE-F0AAD7539E65}">
      <x14:conditionalFormattings>
        <x14:conditionalFormatting xmlns:xm="http://schemas.microsoft.com/office/excel/2006/main">
          <x14:cfRule type="cellIs" priority="1" operator="greaterThanOrEqual" id="{872C7F68-CC7D-4EC2-B174-B3C38CC142CA}">
            <xm:f>Invoer!$B$5</xm:f>
            <x14:dxf>
              <fill>
                <patternFill>
                  <bgColor rgb="FF00B050"/>
                </patternFill>
              </fill>
            </x14:dxf>
          </x14:cfRule>
          <x14:cfRule type="cellIs" priority="2" operator="between" id="{11773CDD-BB96-429B-A66D-22EDB7DFFF22}">
            <xm:f>0</xm:f>
            <xm:f>Invoer!$B$5</xm:f>
            <x14:dxf>
              <fill>
                <patternFill>
                  <bgColor rgb="FFFFC000"/>
                </patternFill>
              </fill>
            </x14:dxf>
          </x14:cfRule>
          <x14:cfRule type="cellIs" priority="3" operator="greaterThanOrEqual" id="{C42C3CBE-D434-4746-B9B6-267539B2C3AE}">
            <xm:f>Invoer!$B$5</xm:f>
            <x14:dxf/>
          </x14:cfRule>
          <xm:sqref>D10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theme="9" tint="-0.249977111117893"/>
  </sheetPr>
  <dimension ref="A1:R63"/>
  <sheetViews>
    <sheetView topLeftCell="A7" zoomScale="110" zoomScaleNormal="110" workbookViewId="0">
      <selection activeCell="H18" sqref="H18"/>
    </sheetView>
  </sheetViews>
  <sheetFormatPr defaultColWidth="8.88671875" defaultRowHeight="15" x14ac:dyDescent="0.25"/>
  <cols>
    <col min="1" max="1" width="8.88671875" style="3"/>
    <col min="2" max="2" width="25.109375" style="39" customWidth="1"/>
    <col min="3" max="3" width="13.88671875" style="3" customWidth="1"/>
    <col min="4" max="4" width="14.44140625" style="4" bestFit="1" customWidth="1"/>
    <col min="5" max="6" width="18.5546875" style="4" bestFit="1" customWidth="1"/>
    <col min="7" max="7" width="11" style="33" bestFit="1" customWidth="1"/>
    <col min="8" max="8" width="22.109375" style="4" bestFit="1" customWidth="1"/>
    <col min="9" max="9" width="13.109375" style="3" customWidth="1"/>
    <col min="10" max="11" width="18.44140625" style="3" customWidth="1"/>
    <col min="12" max="12" width="11" style="3" customWidth="1"/>
    <col min="13" max="13" width="19.33203125" style="3" customWidth="1"/>
    <col min="14" max="14" width="13.109375" style="3" customWidth="1"/>
    <col min="15" max="16" width="18.44140625" style="3" customWidth="1"/>
    <col min="17" max="17" width="11" style="3" customWidth="1"/>
    <col min="18" max="18" width="19.33203125" style="3" customWidth="1"/>
    <col min="19" max="27" width="8.88671875" style="3"/>
    <col min="28" max="28" width="9.109375" style="3" bestFit="1" customWidth="1"/>
    <col min="29" max="16384" width="8.88671875" style="3"/>
  </cols>
  <sheetData>
    <row r="1" spans="1:10" s="2" customFormat="1" ht="16.5" customHeight="1" x14ac:dyDescent="0.25">
      <c r="A1" s="14" t="s">
        <v>44</v>
      </c>
      <c r="B1" s="26"/>
      <c r="C1" s="27"/>
      <c r="D1" s="28"/>
      <c r="E1" s="28"/>
      <c r="F1" s="28"/>
      <c r="G1" s="29"/>
      <c r="H1" s="28"/>
      <c r="I1" s="27"/>
      <c r="J1" s="27"/>
    </row>
    <row r="2" spans="1:10" s="2" customFormat="1" ht="16.5" customHeight="1" x14ac:dyDescent="0.25">
      <c r="A2" s="14" t="s">
        <v>32</v>
      </c>
      <c r="B2" s="30"/>
      <c r="C2" s="27"/>
      <c r="D2" s="28"/>
      <c r="E2" s="28"/>
      <c r="F2" s="28"/>
      <c r="G2" s="29"/>
      <c r="H2" s="28"/>
      <c r="I2" s="27"/>
      <c r="J2" s="27"/>
    </row>
    <row r="3" spans="1:10" s="2" customFormat="1" ht="16.5" customHeight="1" x14ac:dyDescent="0.25">
      <c r="A3" s="14" t="s">
        <v>34</v>
      </c>
      <c r="B3" s="26"/>
      <c r="C3" s="27"/>
      <c r="D3" s="28"/>
      <c r="E3" s="28"/>
      <c r="F3" s="28"/>
      <c r="G3" s="29"/>
      <c r="H3" s="28"/>
      <c r="I3" s="27"/>
      <c r="J3" s="27"/>
    </row>
    <row r="4" spans="1:10" x14ac:dyDescent="0.25">
      <c r="A4" s="31" t="s">
        <v>82</v>
      </c>
      <c r="B4" s="32"/>
    </row>
    <row r="5" spans="1:10" ht="18.75" customHeight="1" x14ac:dyDescent="0.25">
      <c r="A5" s="34"/>
      <c r="B5" s="35"/>
      <c r="D5" s="86"/>
      <c r="E5" s="86"/>
      <c r="F5" s="86"/>
      <c r="G5" s="86"/>
      <c r="H5" s="86"/>
    </row>
    <row r="6" spans="1:10" ht="17.25" customHeight="1" x14ac:dyDescent="0.3">
      <c r="A6" s="85" t="s">
        <v>42</v>
      </c>
      <c r="B6" s="85"/>
      <c r="D6" s="36" t="s">
        <v>8</v>
      </c>
      <c r="E6" s="36" t="s">
        <v>9</v>
      </c>
      <c r="F6" s="36" t="s">
        <v>31</v>
      </c>
      <c r="G6" s="36" t="s">
        <v>10</v>
      </c>
      <c r="H6" s="3" t="s">
        <v>77</v>
      </c>
    </row>
    <row r="7" spans="1:10" ht="15.6" x14ac:dyDescent="0.3">
      <c r="A7" s="37" t="s">
        <v>36</v>
      </c>
      <c r="B7" s="38"/>
      <c r="D7" s="7"/>
      <c r="E7" s="7"/>
      <c r="F7" s="7"/>
      <c r="G7" s="5"/>
      <c r="H7" s="3"/>
    </row>
    <row r="8" spans="1:10" x14ac:dyDescent="0.25">
      <c r="D8" s="7"/>
      <c r="E8" s="7"/>
      <c r="F8" s="7"/>
      <c r="G8" s="5"/>
      <c r="H8" s="3"/>
    </row>
    <row r="9" spans="1:10" ht="27.6" x14ac:dyDescent="0.25">
      <c r="B9" s="60" t="s">
        <v>68</v>
      </c>
      <c r="D9" s="40" t="e">
        <f>(Schulden_korte_termijn+Schulden_lange_termijn)/(Activa)</f>
        <v>#REF!</v>
      </c>
      <c r="E9" s="41">
        <v>0.6</v>
      </c>
      <c r="F9" s="41">
        <v>0.3</v>
      </c>
      <c r="G9" s="5" t="e">
        <f>IF(D9&gt;=E9,"Zwak",IF(AND(E9&gt;D9,D9&gt;F9),"Matig",IF(D9&lt;=F9,"Goed"," ")))</f>
        <v>#REF!</v>
      </c>
      <c r="H9" s="72" t="e">
        <f>(Schulden_korte_termijn_nieuw+Schulden_lange_termijn_nieuw)/(Activa_nieuw)</f>
        <v>#REF!</v>
      </c>
    </row>
    <row r="10" spans="1:10" x14ac:dyDescent="0.25">
      <c r="D10" s="6"/>
      <c r="E10" s="5"/>
      <c r="F10" s="5"/>
      <c r="G10" s="5"/>
      <c r="H10" s="3"/>
    </row>
    <row r="11" spans="1:10" ht="15.6" x14ac:dyDescent="0.3">
      <c r="A11" s="37" t="s">
        <v>11</v>
      </c>
      <c r="B11" s="38"/>
      <c r="D11" s="8"/>
      <c r="E11" s="7"/>
      <c r="F11" s="7"/>
      <c r="G11" s="5"/>
      <c r="H11" s="3"/>
    </row>
    <row r="12" spans="1:10" x14ac:dyDescent="0.25">
      <c r="D12" s="8"/>
      <c r="E12" s="7"/>
      <c r="F12" s="7"/>
      <c r="G12" s="5"/>
      <c r="H12" s="3"/>
    </row>
    <row r="13" spans="1:10" ht="27.6" x14ac:dyDescent="0.25">
      <c r="B13" s="60" t="s">
        <v>45</v>
      </c>
      <c r="D13" s="43" t="e">
        <f>((Opbrengsten)-(Variabele_kosten)-(Betaalde_arbeid+Betaalde_rente+Fictieve_rente+Betaalde_pacht+Afschrijvingen+Algemene_vaste_kosten))/Eigen_arbeid</f>
        <v>#REF!</v>
      </c>
      <c r="E13" s="44">
        <v>25000</v>
      </c>
      <c r="F13" s="44">
        <v>50000</v>
      </c>
      <c r="G13" s="5" t="e">
        <f>IF(D13&lt;=E13,"Zwak",IF(AND(E13&lt;D13,D13&lt;F13),"Matig",IF(D13&gt;=F13,"Goed"," ")))</f>
        <v>#REF!</v>
      </c>
      <c r="H13" s="3" t="e">
        <f>((Opbrengsten_nieuw)-(Variabele_kosten_nieuw)-(Betaalde_arbeid_nieuw+Betaalde_rente_nieuw+Fictieve_rente_nieuw+Betaalde_pacht_nieuw+Afschrijvingen_nieuw+Algemene_vaste_kosten_nieuw))/Eigen_arbeid_nieuw</f>
        <v>#REF!</v>
      </c>
    </row>
    <row r="14" spans="1:10" x14ac:dyDescent="0.25">
      <c r="D14" s="6"/>
      <c r="E14" s="5"/>
      <c r="F14" s="5"/>
      <c r="G14" s="5"/>
      <c r="H14" s="3"/>
    </row>
    <row r="15" spans="1:10" ht="27.6" x14ac:dyDescent="0.25">
      <c r="B15" s="60" t="s">
        <v>13</v>
      </c>
      <c r="D15" s="45" t="e">
        <f>(Opbrengsten-Variabele_kosten-(Betaalde_arbeid+Fictieve_arbeid+Betaalde_pacht+Afschrijvingen+Algemene_vaste_kosten))/(Activa)</f>
        <v>#REF!</v>
      </c>
      <c r="E15" s="41">
        <v>0.03</v>
      </c>
      <c r="F15" s="41">
        <v>0.06</v>
      </c>
      <c r="G15" s="5" t="e">
        <f>IF(D15&lt;=E15,"Zwak",IF(AND(E15&lt;D15,D15&lt;F15),"Matig",IF(D15&gt;=F15,"Goed"," ")))</f>
        <v>#REF!</v>
      </c>
      <c r="H15" s="45" t="e">
        <f>(Opbrengsten_nieuw-Variabele_kosten_nieuw-(Betaalde_arbeid_nieuw+Fictieve_arbeid_nieuw+Betaalde_pacht_nieuw+Afschrijvingen_nieuw+Algemene_vaste_kosten_nieuw))/(Activa_nieuw)</f>
        <v>#REF!</v>
      </c>
    </row>
    <row r="16" spans="1:10" x14ac:dyDescent="0.25">
      <c r="B16" s="60"/>
      <c r="D16" s="6"/>
      <c r="E16" s="5"/>
      <c r="F16" s="5"/>
      <c r="G16" s="5"/>
      <c r="H16" s="6"/>
    </row>
    <row r="17" spans="1:18" ht="27.6" x14ac:dyDescent="0.25">
      <c r="B17" s="60" t="s">
        <v>14</v>
      </c>
      <c r="D17" s="45" t="e">
        <f>(Opbrengsten-Variabele_kosten-(Betaalde_arbeid+Fictieve_arbeid+Betaalde_rente+Betaalde_pacht++Afschrijvingen+Algemene_vaste_kosten))/(Eigen_vermogen)</f>
        <v>#REF!</v>
      </c>
      <c r="E17" s="41">
        <v>0.02</v>
      </c>
      <c r="F17" s="41">
        <v>0.08</v>
      </c>
      <c r="G17" s="5" t="e">
        <f>IF(D17&lt;=E17,"Zwak",IF(AND(E17&lt;D17,D17&lt;F17),"Matig",IF(D17&gt;=F17,"Goed"," ")))</f>
        <v>#REF!</v>
      </c>
      <c r="H17" s="45" t="e">
        <f>(Opbrengsten_nieuw-Variabele_kosten_nieuw-(Betaalde_arbeid_nieuw+Fictieve_arbeid_nieuw+Betaalde_rente_nieuw+Betaalde_pacht_nieuw+Afschrijvingen_nieuw+Algemene_vaste_kosten_nieuw))/(Eigen_vermogen_nieuw)</f>
        <v>#REF!</v>
      </c>
    </row>
    <row r="18" spans="1:18" x14ac:dyDescent="0.25">
      <c r="B18" s="60"/>
      <c r="D18" s="6"/>
      <c r="E18" s="5"/>
      <c r="F18" s="5"/>
      <c r="G18" s="5"/>
      <c r="H18" s="6"/>
    </row>
    <row r="19" spans="1:18" ht="27.6" x14ac:dyDescent="0.25">
      <c r="B19" s="60" t="s">
        <v>15</v>
      </c>
      <c r="D19" s="45" t="e">
        <f>((D21+Betaalde_rente)-Fictieve_arbeid)/(Ontvangsten_witloof+Andere_ontvangsten)</f>
        <v>#REF!</v>
      </c>
      <c r="E19" s="41">
        <v>0.1</v>
      </c>
      <c r="F19" s="41">
        <v>0.25</v>
      </c>
      <c r="G19" s="5" t="e">
        <f>IF(D19&lt;=E19,"Zwak",IF(AND(E19&lt;D19,D19&lt;F19),"Matig",IF(D19&gt;=F19,"Goed"," ")))</f>
        <v>#REF!</v>
      </c>
      <c r="H19" s="45" t="e">
        <f>((H21+Betaalde_rente_nieuw)-Fictieve_arbeid_nieuw)/(Ontvangsten_witloof_nieuw+Andere_ontvangsten_nieuw)</f>
        <v>#REF!</v>
      </c>
    </row>
    <row r="20" spans="1:18" x14ac:dyDescent="0.25">
      <c r="B20" s="60"/>
      <c r="D20" s="46"/>
      <c r="E20" s="47"/>
      <c r="F20" s="47"/>
      <c r="G20" s="5"/>
      <c r="H20" s="46"/>
    </row>
    <row r="21" spans="1:18" ht="16.5" customHeight="1" x14ac:dyDescent="0.25">
      <c r="B21" s="60" t="s">
        <v>22</v>
      </c>
      <c r="D21" s="48" t="e">
        <f>(Opbrengsten)-(Variabele_kosten)-(Afschrijvingen+Betaalde_pacht+Betaalde_rente+Betaalde_arbeid+Algemene_vaste_kosten)</f>
        <v>#REF!</v>
      </c>
      <c r="E21" s="44">
        <v>100000</v>
      </c>
      <c r="F21" s="44">
        <v>300000</v>
      </c>
      <c r="G21" s="5" t="e">
        <f>IF(D21&lt;=E21,"Zwak",IF(AND(E21&lt;D21,D21&lt;F21),"Matig",IF(D21&gt;=F21,"Goed"," ")))</f>
        <v>#REF!</v>
      </c>
      <c r="H21" s="48" t="e">
        <f>(Opbrengsten_nieuw)-(Variabele_kosten_nieuw)-(Afschrijvingen_nieuw+Betaalde_pacht_nieuw+Betaalde_rente_nieuw+Betaalde_arbeid_nieuw+Algemene_vaste_kosten_nieuw)</f>
        <v>#REF!</v>
      </c>
    </row>
    <row r="22" spans="1:18" x14ac:dyDescent="0.25">
      <c r="D22" s="5"/>
      <c r="E22" s="5"/>
      <c r="F22" s="5"/>
      <c r="G22" s="5"/>
      <c r="H22" s="3"/>
    </row>
    <row r="23" spans="1:18" ht="15.6" x14ac:dyDescent="0.3">
      <c r="A23" s="37" t="s">
        <v>18</v>
      </c>
      <c r="B23" s="38"/>
      <c r="C23" s="59"/>
      <c r="D23" s="5"/>
      <c r="E23" s="5"/>
      <c r="F23" s="5"/>
      <c r="G23" s="5" t="e">
        <f t="shared" ref="G23" si="0">IF(D23&gt;E23,"zwak",IF(AND(E23&gt;D23,D23&gt;F23),"matig",IF(D21&lt;=F23,"goed"," ")))</f>
        <v>#REF!</v>
      </c>
      <c r="H23" s="3"/>
    </row>
    <row r="24" spans="1:18" x14ac:dyDescent="0.25">
      <c r="D24" s="5"/>
      <c r="E24" s="5"/>
      <c r="F24" s="5"/>
      <c r="G24" s="5"/>
      <c r="H24" s="3"/>
      <c r="P24" s="61"/>
      <c r="Q24" s="61"/>
      <c r="R24" s="61"/>
    </row>
    <row r="25" spans="1:18" ht="16.5" customHeight="1" x14ac:dyDescent="0.25">
      <c r="B25" s="60" t="s">
        <v>24</v>
      </c>
      <c r="D25" s="45" t="e">
        <f>(Opbrengsten)/(Activa)</f>
        <v>#REF!</v>
      </c>
      <c r="E25" s="41">
        <v>0.3</v>
      </c>
      <c r="F25" s="41">
        <v>0.45</v>
      </c>
      <c r="G25" s="5" t="e">
        <f>IF(D25&lt;=E25,"Zwak",IF(AND(E25&lt;D25,D25&lt;F25),"Matig",IF(D25&gt;=F25,"Goed"," ")))</f>
        <v>#REF!</v>
      </c>
      <c r="H25" s="72" t="e">
        <f>(Opbrengsten_nieuw)/(Activa_nieuw)</f>
        <v>#REF!</v>
      </c>
      <c r="I25" s="9" t="s">
        <v>46</v>
      </c>
      <c r="J25" s="10" t="e">
        <f>D27</f>
        <v>#REF!</v>
      </c>
      <c r="R25" s="61"/>
    </row>
    <row r="26" spans="1:18" x14ac:dyDescent="0.25">
      <c r="B26" s="60"/>
      <c r="D26" s="6"/>
      <c r="E26" s="5"/>
      <c r="F26" s="5"/>
      <c r="G26" s="5"/>
      <c r="H26" s="3"/>
      <c r="I26" s="9" t="s">
        <v>47</v>
      </c>
      <c r="J26" s="10" t="e">
        <f>D29</f>
        <v>#REF!</v>
      </c>
      <c r="R26" s="61"/>
    </row>
    <row r="27" spans="1:18" ht="16.5" customHeight="1" x14ac:dyDescent="0.25">
      <c r="B27" s="60" t="s">
        <v>23</v>
      </c>
      <c r="D27" s="45" t="e">
        <f>(Variabele_kosten+Betaalde_arbeid+Betaalde_pacht)/(Opbrengsten)</f>
        <v>#REF!</v>
      </c>
      <c r="E27" s="41">
        <v>0.8</v>
      </c>
      <c r="F27" s="41">
        <v>0.6</v>
      </c>
      <c r="G27" s="5" t="e">
        <f>IF(D27&gt;=E27,"Zwak",IF(AND(E27&gt;D27,D27&gt;F27),"Matig",IF(D27&lt;=F27,"Goed"," ")))</f>
        <v>#REF!</v>
      </c>
      <c r="H27" s="72" t="e">
        <f>(Variabele_kosten_nieuw+Betaalde_arbeid_nieuw+Betaalde_pacht_nieuw)/(Opbrengsten_nieuw)</f>
        <v>#REF!</v>
      </c>
      <c r="I27" s="9" t="s">
        <v>19</v>
      </c>
      <c r="J27" s="10" t="e">
        <f>D31</f>
        <v>#REF!</v>
      </c>
      <c r="R27" s="61"/>
    </row>
    <row r="28" spans="1:18" x14ac:dyDescent="0.25">
      <c r="B28" s="60"/>
      <c r="D28" s="6"/>
      <c r="E28" s="5"/>
      <c r="F28" s="5"/>
      <c r="G28" s="5"/>
      <c r="H28" s="3"/>
      <c r="I28" s="9" t="s">
        <v>48</v>
      </c>
      <c r="J28" s="10" t="e">
        <f>D33</f>
        <v>#REF!</v>
      </c>
      <c r="R28" s="61"/>
    </row>
    <row r="29" spans="1:18" x14ac:dyDescent="0.25">
      <c r="B29" s="60" t="s">
        <v>25</v>
      </c>
      <c r="D29" s="45" t="e">
        <f>Afschrijvingen/Opbrengsten</f>
        <v>#REF!</v>
      </c>
      <c r="E29" s="41">
        <v>0.1</v>
      </c>
      <c r="F29" s="41">
        <v>0.05</v>
      </c>
      <c r="G29" s="5" t="e">
        <f>IF(D29&gt;=E29,"Zwak",IF(AND(E29&gt;D29,D29&gt;F29),"Matig",IF(D29&lt;=F29,"Goed"," ")))</f>
        <v>#REF!</v>
      </c>
      <c r="H29" s="72" t="e">
        <f>Afschrijvingen_nieuw/Opbrengsten_nieuw</f>
        <v>#REF!</v>
      </c>
      <c r="P29" s="61"/>
      <c r="Q29" s="62"/>
      <c r="R29" s="61"/>
    </row>
    <row r="30" spans="1:18" x14ac:dyDescent="0.25">
      <c r="B30" s="60"/>
      <c r="D30" s="6"/>
      <c r="E30" s="5"/>
      <c r="F30" s="5"/>
      <c r="G30" s="5"/>
      <c r="H30" s="3"/>
      <c r="P30" s="61"/>
      <c r="Q30" s="61"/>
      <c r="R30" s="61"/>
    </row>
    <row r="31" spans="1:18" ht="16.5" customHeight="1" x14ac:dyDescent="0.25">
      <c r="B31" s="60" t="s">
        <v>26</v>
      </c>
      <c r="D31" s="45" t="e">
        <f>Betaalde_rente/Opbrengsten</f>
        <v>#REF!</v>
      </c>
      <c r="E31" s="41">
        <v>0.1</v>
      </c>
      <c r="F31" s="41">
        <v>0.05</v>
      </c>
      <c r="G31" s="5" t="e">
        <f>IF(D31&gt;=E31,"Zwak",IF(AND(E31&gt;D31,D31&gt;F31),"Matig",IF(D31&lt;=F31,"Goed"," ")))</f>
        <v>#REF!</v>
      </c>
      <c r="H31" s="72" t="e">
        <f>Betaalde_rente_nieuw/Opbrengsten_nieuw</f>
        <v>#REF!</v>
      </c>
      <c r="P31" s="61"/>
      <c r="Q31" s="61"/>
      <c r="R31" s="61"/>
    </row>
    <row r="32" spans="1:18" x14ac:dyDescent="0.25">
      <c r="B32" s="60"/>
      <c r="D32" s="6"/>
      <c r="E32" s="5"/>
      <c r="F32" s="5"/>
      <c r="G32" s="5"/>
      <c r="H32" s="3"/>
    </row>
    <row r="33" spans="1:17" ht="16.5" customHeight="1" x14ac:dyDescent="0.25">
      <c r="B33" s="60" t="s">
        <v>27</v>
      </c>
      <c r="D33" s="45" t="e">
        <f>D21/(Opbrengsten)</f>
        <v>#REF!</v>
      </c>
      <c r="E33" s="41">
        <v>0.1</v>
      </c>
      <c r="F33" s="41">
        <v>0.2</v>
      </c>
      <c r="G33" s="5" t="e">
        <f>IF(D33&lt;=E33,"Zwak",IF(AND(E33&lt;D33,D33&lt;F33),"Matig",IF(D33&gt;=F33,"Goed"," ")))</f>
        <v>#REF!</v>
      </c>
      <c r="H33" s="72" t="e">
        <f>H21/(Opbrengsten_nieuw)</f>
        <v>#REF!</v>
      </c>
    </row>
    <row r="34" spans="1:17" ht="16.5" customHeight="1" x14ac:dyDescent="0.25">
      <c r="D34" s="49"/>
      <c r="E34" s="50"/>
      <c r="F34" s="50"/>
      <c r="G34" s="5"/>
      <c r="H34" s="49"/>
      <c r="I34" s="50"/>
      <c r="J34" s="50"/>
      <c r="K34" s="5"/>
      <c r="L34" s="42"/>
      <c r="M34" s="49"/>
      <c r="N34" s="50"/>
      <c r="O34" s="50"/>
      <c r="P34" s="5"/>
      <c r="Q34" s="42"/>
    </row>
    <row r="35" spans="1:17" ht="15.6" x14ac:dyDescent="0.3">
      <c r="A35" s="85" t="s">
        <v>43</v>
      </c>
      <c r="B35" s="85"/>
      <c r="D35" s="1"/>
      <c r="H35" s="3"/>
    </row>
    <row r="36" spans="1:17" ht="15.6" x14ac:dyDescent="0.3">
      <c r="A36" s="37" t="s">
        <v>20</v>
      </c>
      <c r="B36" s="38"/>
      <c r="D36" s="5"/>
      <c r="E36" s="5"/>
      <c r="F36" s="5"/>
      <c r="G36" s="5"/>
      <c r="H36" s="3"/>
    </row>
    <row r="37" spans="1:17" x14ac:dyDescent="0.25">
      <c r="B37" s="60" t="s">
        <v>69</v>
      </c>
      <c r="D37" s="63" t="e">
        <f>(Cash+Voorraden+Voorschotten)/(Schulden_korte_termijn)</f>
        <v>#REF!</v>
      </c>
      <c r="E37" s="64">
        <v>1</v>
      </c>
      <c r="F37" s="64">
        <v>1.3</v>
      </c>
      <c r="G37" s="5" t="e">
        <f>IF(D37&lt;=E37,"Zwak",IF(AND(E37&lt;D37,D37&lt;F37),"Matig",IF(D37&gt;=F37,"Goed"," ")))</f>
        <v>#REF!</v>
      </c>
      <c r="H37" s="3" t="e">
        <f>(Cash_nieuw+Voorraden_nieuw+Voorschotten_nieuw)/(Schulden_korte_termijn_nieuw)</f>
        <v>#REF!</v>
      </c>
    </row>
    <row r="38" spans="1:17" x14ac:dyDescent="0.25">
      <c r="B38" s="60"/>
      <c r="D38" s="6"/>
      <c r="E38" s="5"/>
      <c r="F38" s="5"/>
      <c r="G38" s="5"/>
      <c r="H38" s="3"/>
    </row>
    <row r="39" spans="1:17" ht="27.6" x14ac:dyDescent="0.25">
      <c r="B39" s="60" t="s">
        <v>0</v>
      </c>
      <c r="D39" s="45" t="e">
        <f>((Cash+Voorraden+Voorschotten)-(Schulden_korte_termijn))/(Opbrengsten)</f>
        <v>#REF!</v>
      </c>
      <c r="E39" s="41">
        <v>0.1</v>
      </c>
      <c r="F39" s="41">
        <v>0.3</v>
      </c>
      <c r="G39" s="5" t="e">
        <f>IF(D39&lt;=E39,"Zwak",IF(AND(E39&lt;D39,D39&lt;F39),"Matig",IF(D39&gt;=F39,"Goed"," ")))</f>
        <v>#REF!</v>
      </c>
      <c r="H39" s="72" t="e">
        <f>((Cash_nieuw+Voorraden_nieuw+Voorschotten_nieuw)-(Schulden_korte_termijn_nieuw))/(Opbrengsten_nieuw)</f>
        <v>#REF!</v>
      </c>
    </row>
    <row r="40" spans="1:17" x14ac:dyDescent="0.25">
      <c r="D40" s="6"/>
      <c r="E40" s="5"/>
      <c r="F40" s="5"/>
      <c r="G40" s="5"/>
      <c r="H40" s="3"/>
    </row>
    <row r="41" spans="1:17" ht="15.6" x14ac:dyDescent="0.3">
      <c r="A41" s="37" t="s">
        <v>33</v>
      </c>
      <c r="B41" s="38"/>
      <c r="D41" s="6"/>
      <c r="E41" s="5"/>
      <c r="F41" s="5"/>
      <c r="G41" s="5"/>
      <c r="H41" s="3"/>
    </row>
    <row r="42" spans="1:17" x14ac:dyDescent="0.25">
      <c r="D42" s="6"/>
      <c r="E42" s="5"/>
      <c r="F42" s="5"/>
      <c r="G42" s="5"/>
      <c r="H42" s="3"/>
    </row>
    <row r="43" spans="1:17" x14ac:dyDescent="0.25">
      <c r="B43" s="60" t="s">
        <v>16</v>
      </c>
      <c r="D43" s="43" t="e">
        <f>(D21+Afschrijvingen+Niet_landbouwinkomen+Betaalde_rente)-Gezinsuitgaven</f>
        <v>#REF!</v>
      </c>
      <c r="E43" s="44">
        <v>55000</v>
      </c>
      <c r="F43" s="44">
        <v>80000</v>
      </c>
      <c r="G43" s="5" t="e">
        <f>IF(D43&lt;=E43,"Zwak",IF(AND(E43&lt;D43,D43&lt;F43),"Matig",IF(D43&gt;=F43,"Goed"," ")))</f>
        <v>#REF!</v>
      </c>
      <c r="H43" s="73" t="e">
        <f>(H21+Afschrijvingen_nieuw+Niet_landbouwinkomen_nieuw+Betaalde_rente_nieuw)-Gezinsuitgaven_nieuw</f>
        <v>#REF!</v>
      </c>
    </row>
    <row r="44" spans="1:17" x14ac:dyDescent="0.25">
      <c r="B44" s="60"/>
      <c r="D44" s="6"/>
      <c r="E44" s="5"/>
      <c r="F44" s="5"/>
      <c r="G44" s="5"/>
      <c r="H44" s="3"/>
    </row>
    <row r="45" spans="1:17" x14ac:dyDescent="0.25">
      <c r="B45" s="60" t="s">
        <v>17</v>
      </c>
      <c r="D45" s="43" t="e">
        <f>D43-(Aflossingen+Betaalde_rente)</f>
        <v>#REF!</v>
      </c>
      <c r="E45" s="44">
        <v>35000</v>
      </c>
      <c r="F45" s="44">
        <v>60000</v>
      </c>
      <c r="G45" s="5" t="e">
        <f>IF(D45&lt;=E45,"Zwak",IF(AND(E45&lt;D45,D45&lt;F45),"Matig",IF(D45&gt;=F45,"Goed"," ")))</f>
        <v>#REF!</v>
      </c>
      <c r="H45" s="73" t="e">
        <f>H43-(Aflossingen_nieuw+Betaalde_rente_nieuw)</f>
        <v>#REF!</v>
      </c>
    </row>
    <row r="46" spans="1:17" x14ac:dyDescent="0.25">
      <c r="H46" s="3"/>
    </row>
    <row r="51" spans="2:4" x14ac:dyDescent="0.25">
      <c r="B51" s="51" t="s">
        <v>67</v>
      </c>
      <c r="C51" s="52"/>
      <c r="D51" s="34"/>
    </row>
    <row r="52" spans="2:4" ht="27.6" x14ac:dyDescent="0.25">
      <c r="B52" s="53" t="s">
        <v>39</v>
      </c>
      <c r="C52" s="54" t="s">
        <v>40</v>
      </c>
      <c r="D52" s="54" t="s">
        <v>41</v>
      </c>
    </row>
    <row r="53" spans="2:4" x14ac:dyDescent="0.25">
      <c r="B53" s="55" t="s">
        <v>1</v>
      </c>
      <c r="C53" s="56" t="e">
        <f>#REF!</f>
        <v>#REF!</v>
      </c>
      <c r="D53" s="57" t="e">
        <f>C53/#REF!</f>
        <v>#REF!</v>
      </c>
    </row>
    <row r="54" spans="2:4" x14ac:dyDescent="0.25">
      <c r="B54" s="55" t="s">
        <v>2</v>
      </c>
      <c r="C54" s="56" t="e">
        <f>#REF!</f>
        <v>#REF!</v>
      </c>
      <c r="D54" s="57" t="e">
        <f>C54/#REF!</f>
        <v>#REF!</v>
      </c>
    </row>
    <row r="55" spans="2:4" x14ac:dyDescent="0.25">
      <c r="B55" s="55" t="s">
        <v>3</v>
      </c>
      <c r="C55" s="56" t="e">
        <f>#REF!</f>
        <v>#REF!</v>
      </c>
      <c r="D55" s="57" t="e">
        <f>C55/#REF!</f>
        <v>#REF!</v>
      </c>
    </row>
    <row r="56" spans="2:4" x14ac:dyDescent="0.25">
      <c r="B56" s="55" t="s">
        <v>4</v>
      </c>
      <c r="C56" s="56" t="e">
        <f>#REF!</f>
        <v>#REF!</v>
      </c>
      <c r="D56" s="57" t="e">
        <f>C56/#REF!</f>
        <v>#REF!</v>
      </c>
    </row>
    <row r="57" spans="2:4" x14ac:dyDescent="0.25">
      <c r="B57" s="55" t="s">
        <v>21</v>
      </c>
      <c r="C57" s="56" t="e">
        <f>#REF!</f>
        <v>#REF!</v>
      </c>
      <c r="D57" s="57" t="e">
        <f>C57/#REF!</f>
        <v>#REF!</v>
      </c>
    </row>
    <row r="58" spans="2:4" x14ac:dyDescent="0.25">
      <c r="B58" s="55" t="s">
        <v>35</v>
      </c>
      <c r="C58" s="56" t="e">
        <f>#REF!</f>
        <v>#REF!</v>
      </c>
      <c r="D58" s="57" t="e">
        <f>C58/#REF!</f>
        <v>#REF!</v>
      </c>
    </row>
    <row r="59" spans="2:4" x14ac:dyDescent="0.25">
      <c r="B59" s="55" t="s">
        <v>5</v>
      </c>
      <c r="C59" s="56" t="e">
        <f>#REF!</f>
        <v>#REF!</v>
      </c>
      <c r="D59" s="57" t="e">
        <f>C59/#REF!</f>
        <v>#REF!</v>
      </c>
    </row>
    <row r="60" spans="2:4" x14ac:dyDescent="0.25">
      <c r="B60" s="58" t="s">
        <v>37</v>
      </c>
      <c r="C60" s="56" t="e">
        <f>#REF!</f>
        <v>#REF!</v>
      </c>
      <c r="D60" s="57" t="e">
        <f>C60/#REF!</f>
        <v>#REF!</v>
      </c>
    </row>
    <row r="61" spans="2:4" x14ac:dyDescent="0.25">
      <c r="B61" s="55" t="s">
        <v>6</v>
      </c>
      <c r="C61" s="56" t="e">
        <f>#REF!</f>
        <v>#REF!</v>
      </c>
      <c r="D61" s="57" t="e">
        <f>C61/#REF!</f>
        <v>#REF!</v>
      </c>
    </row>
    <row r="62" spans="2:4" x14ac:dyDescent="0.25">
      <c r="B62" s="55" t="s">
        <v>7</v>
      </c>
      <c r="C62" s="56" t="e">
        <f>Betaalde_arbeid</f>
        <v>#REF!</v>
      </c>
      <c r="D62" s="57" t="e">
        <f>C62/#REF!</f>
        <v>#REF!</v>
      </c>
    </row>
    <row r="63" spans="2:4" x14ac:dyDescent="0.25">
      <c r="B63" s="55" t="s">
        <v>28</v>
      </c>
      <c r="C63" s="56" t="e">
        <f>Betaalde_pacht</f>
        <v>#REF!</v>
      </c>
      <c r="D63" s="57" t="e">
        <f>C63/#REF!</f>
        <v>#REF!</v>
      </c>
    </row>
  </sheetData>
  <mergeCells count="3">
    <mergeCell ref="A6:B6"/>
    <mergeCell ref="A35:B35"/>
    <mergeCell ref="D5:H5"/>
  </mergeCells>
  <conditionalFormatting sqref="G9 P34">
    <cfRule type="containsText" dxfId="45" priority="110" operator="containsText" text="goed">
      <formula>NOT(ISERROR(SEARCH("goed",G9)))</formula>
    </cfRule>
    <cfRule type="containsText" dxfId="44" priority="111" operator="containsText" text="matig">
      <formula>NOT(ISERROR(SEARCH("matig",G9)))</formula>
    </cfRule>
    <cfRule type="containsText" dxfId="43" priority="112" operator="containsText" text="zwak">
      <formula>NOT(ISERROR(SEARCH("zwak",G9)))</formula>
    </cfRule>
  </conditionalFormatting>
  <conditionalFormatting sqref="G13">
    <cfRule type="containsText" dxfId="42" priority="107" operator="containsText" text="goed">
      <formula>NOT(ISERROR(SEARCH("goed",G13)))</formula>
    </cfRule>
    <cfRule type="containsText" dxfId="41" priority="108" operator="containsText" text="matig">
      <formula>NOT(ISERROR(SEARCH("matig",G13)))</formula>
    </cfRule>
    <cfRule type="containsText" dxfId="40" priority="109" operator="containsText" text="zwak">
      <formula>NOT(ISERROR(SEARCH("zwak",G13)))</formula>
    </cfRule>
  </conditionalFormatting>
  <conditionalFormatting sqref="G15">
    <cfRule type="containsText" dxfId="39" priority="104" operator="containsText" text="goed">
      <formula>NOT(ISERROR(SEARCH("goed",G15)))</formula>
    </cfRule>
    <cfRule type="containsText" dxfId="38" priority="105" operator="containsText" text="matig">
      <formula>NOT(ISERROR(SEARCH("matig",G15)))</formula>
    </cfRule>
    <cfRule type="containsText" dxfId="37" priority="106" operator="containsText" text="zwak">
      <formula>NOT(ISERROR(SEARCH("zwak",G15)))</formula>
    </cfRule>
  </conditionalFormatting>
  <conditionalFormatting sqref="G17">
    <cfRule type="containsText" dxfId="36" priority="101" operator="containsText" text="goed">
      <formula>NOT(ISERROR(SEARCH("goed",G17)))</formula>
    </cfRule>
    <cfRule type="containsText" dxfId="35" priority="102" operator="containsText" text="matig">
      <formula>NOT(ISERROR(SEARCH("matig",G17)))</formula>
    </cfRule>
    <cfRule type="containsText" dxfId="34" priority="103" operator="containsText" text="zwak">
      <formula>NOT(ISERROR(SEARCH("zwak",G17)))</formula>
    </cfRule>
  </conditionalFormatting>
  <conditionalFormatting sqref="G19">
    <cfRule type="containsText" dxfId="33" priority="98" operator="containsText" text="goed">
      <formula>NOT(ISERROR(SEARCH("goed",G19)))</formula>
    </cfRule>
    <cfRule type="containsText" dxfId="32" priority="99" operator="containsText" text="matig">
      <formula>NOT(ISERROR(SEARCH("matig",G19)))</formula>
    </cfRule>
    <cfRule type="containsText" dxfId="31" priority="100" operator="containsText" text="zwak">
      <formula>NOT(ISERROR(SEARCH("zwak",G19)))</formula>
    </cfRule>
  </conditionalFormatting>
  <conditionalFormatting sqref="G21">
    <cfRule type="containsText" dxfId="30" priority="95" operator="containsText" text="goed">
      <formula>NOT(ISERROR(SEARCH("goed",G21)))</formula>
    </cfRule>
    <cfRule type="containsText" dxfId="29" priority="96" operator="containsText" text="matig">
      <formula>NOT(ISERROR(SEARCH("matig",G21)))</formula>
    </cfRule>
    <cfRule type="containsText" dxfId="28" priority="97" operator="containsText" text="zwak">
      <formula>NOT(ISERROR(SEARCH("zwak",G21)))</formula>
    </cfRule>
  </conditionalFormatting>
  <conditionalFormatting sqref="G25">
    <cfRule type="containsText" dxfId="27" priority="92" operator="containsText" text="goed">
      <formula>NOT(ISERROR(SEARCH("goed",G25)))</formula>
    </cfRule>
    <cfRule type="containsText" dxfId="26" priority="93" operator="containsText" text="matig">
      <formula>NOT(ISERROR(SEARCH("matig",G25)))</formula>
    </cfRule>
    <cfRule type="containsText" dxfId="25" priority="94" operator="containsText" text="zwak">
      <formula>NOT(ISERROR(SEARCH("zwak",G25)))</formula>
    </cfRule>
  </conditionalFormatting>
  <conditionalFormatting sqref="G27">
    <cfRule type="containsText" dxfId="24" priority="89" operator="containsText" text="goed">
      <formula>NOT(ISERROR(SEARCH("goed",G27)))</formula>
    </cfRule>
    <cfRule type="containsText" dxfId="23" priority="90" operator="containsText" text="matig">
      <formula>NOT(ISERROR(SEARCH("matig",G27)))</formula>
    </cfRule>
    <cfRule type="containsText" dxfId="22" priority="91" operator="containsText" text="zwak">
      <formula>NOT(ISERROR(SEARCH("zwak",G27)))</formula>
    </cfRule>
  </conditionalFormatting>
  <conditionalFormatting sqref="G29">
    <cfRule type="containsText" dxfId="21" priority="86" operator="containsText" text="goed">
      <formula>NOT(ISERROR(SEARCH("goed",G29)))</formula>
    </cfRule>
    <cfRule type="containsText" dxfId="20" priority="87" operator="containsText" text="matig">
      <formula>NOT(ISERROR(SEARCH("matig",G29)))</formula>
    </cfRule>
    <cfRule type="containsText" dxfId="19" priority="88" operator="containsText" text="zwak">
      <formula>NOT(ISERROR(SEARCH("zwak",G29)))</formula>
    </cfRule>
  </conditionalFormatting>
  <conditionalFormatting sqref="G31">
    <cfRule type="containsText" dxfId="18" priority="83" operator="containsText" text="goed">
      <formula>NOT(ISERROR(SEARCH("goed",G31)))</formula>
    </cfRule>
    <cfRule type="containsText" dxfId="17" priority="84" operator="containsText" text="matig">
      <formula>NOT(ISERROR(SEARCH("matig",G31)))</formula>
    </cfRule>
    <cfRule type="containsText" dxfId="16" priority="85" operator="containsText" text="zwak">
      <formula>NOT(ISERROR(SEARCH("zwak",G31)))</formula>
    </cfRule>
  </conditionalFormatting>
  <conditionalFormatting sqref="G33:G34">
    <cfRule type="containsText" dxfId="15" priority="80" operator="containsText" text="goed">
      <formula>NOT(ISERROR(SEARCH("goed",G33)))</formula>
    </cfRule>
    <cfRule type="containsText" dxfId="14" priority="81" operator="containsText" text="matig">
      <formula>NOT(ISERROR(SEARCH("matig",G33)))</formula>
    </cfRule>
    <cfRule type="containsText" dxfId="13" priority="82" operator="containsText" text="zwak">
      <formula>NOT(ISERROR(SEARCH("zwak",G33)))</formula>
    </cfRule>
  </conditionalFormatting>
  <conditionalFormatting sqref="G9:G34">
    <cfRule type="colorScale" priority="119">
      <colorScale>
        <cfvo type="min"/>
        <cfvo type="percentile" val="50"/>
        <cfvo type="max"/>
        <color rgb="FFF8696B"/>
        <color rgb="FFFFEB84"/>
        <color rgb="FF63BE7B"/>
      </colorScale>
    </cfRule>
  </conditionalFormatting>
  <conditionalFormatting sqref="K34">
    <cfRule type="containsText" dxfId="12" priority="45" operator="containsText" text="goed">
      <formula>NOT(ISERROR(SEARCH("goed",K34)))</formula>
    </cfRule>
    <cfRule type="containsText" dxfId="11" priority="46" operator="containsText" text="matig">
      <formula>NOT(ISERROR(SEARCH("matig",K34)))</formula>
    </cfRule>
    <cfRule type="containsText" dxfId="10" priority="47" operator="containsText" text="zwak">
      <formula>NOT(ISERROR(SEARCH("zwak",K34)))</formula>
    </cfRule>
  </conditionalFormatting>
  <conditionalFormatting sqref="G39 G43 G45">
    <cfRule type="containsText" dxfId="9" priority="1" operator="containsText" text="goed">
      <formula>NOT(ISERROR(SEARCH("goed",G39)))</formula>
    </cfRule>
    <cfRule type="containsText" dxfId="8" priority="2" operator="containsText" text="matig">
      <formula>NOT(ISERROR(SEARCH("matig",G39)))</formula>
    </cfRule>
    <cfRule type="containsText" dxfId="7" priority="3" operator="containsText" text="zwak">
      <formula>NOT(ISERROR(SEARCH("zwak",G39)))</formula>
    </cfRule>
    <cfRule type="cellIs" dxfId="6" priority="4" operator="lessThan">
      <formula>$E$9</formula>
    </cfRule>
    <cfRule type="cellIs" dxfId="5" priority="5" operator="lessThan">
      <formula>$E$9</formula>
    </cfRule>
  </conditionalFormatting>
  <conditionalFormatting sqref="G37">
    <cfRule type="containsText" dxfId="4" priority="6" operator="containsText" text="goed">
      <formula>NOT(ISERROR(SEARCH("goed",G37)))</formula>
    </cfRule>
    <cfRule type="containsText" dxfId="3" priority="7" operator="containsText" text="matig">
      <formula>NOT(ISERROR(SEARCH("matig",G37)))</formula>
    </cfRule>
    <cfRule type="containsText" dxfId="2" priority="8" operator="containsText" text="zwak">
      <formula>NOT(ISERROR(SEARCH("zwak",G37)))</formula>
    </cfRule>
    <cfRule type="cellIs" dxfId="1" priority="9" operator="lessThan">
      <formula>$E$9</formula>
    </cfRule>
    <cfRule type="cellIs" dxfId="0" priority="10" operator="lessThan">
      <formula>$E$9</formula>
    </cfRule>
  </conditionalFormatting>
  <conditionalFormatting sqref="K34">
    <cfRule type="colorScale" priority="120">
      <colorScale>
        <cfvo type="min"/>
        <cfvo type="percentile" val="50"/>
        <cfvo type="max"/>
        <color rgb="FFF8696B"/>
        <color rgb="FFFFEB84"/>
        <color rgb="FF63BE7B"/>
      </colorScale>
    </cfRule>
  </conditionalFormatting>
  <conditionalFormatting sqref="P34">
    <cfRule type="colorScale" priority="12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3:N75"/>
  <sheetViews>
    <sheetView zoomScale="80" zoomScaleNormal="80" workbookViewId="0">
      <selection activeCell="I64" sqref="I64:I67"/>
    </sheetView>
  </sheetViews>
  <sheetFormatPr defaultRowHeight="14.4" x14ac:dyDescent="0.3"/>
  <cols>
    <col min="1" max="1" width="30.6640625" bestFit="1" customWidth="1"/>
    <col min="7" max="7" width="9.44140625" bestFit="1" customWidth="1"/>
    <col min="9" max="9" width="10.6640625" customWidth="1"/>
  </cols>
  <sheetData>
    <row r="3" spans="1:14" x14ac:dyDescent="0.3">
      <c r="A3" t="s">
        <v>12</v>
      </c>
      <c r="B3" s="87" t="s">
        <v>50</v>
      </c>
      <c r="C3" s="87"/>
      <c r="D3" s="87" t="s">
        <v>51</v>
      </c>
      <c r="E3" s="87"/>
      <c r="F3" s="87" t="s">
        <v>59</v>
      </c>
      <c r="G3" s="87"/>
      <c r="H3" t="s">
        <v>78</v>
      </c>
      <c r="J3" t="s">
        <v>79</v>
      </c>
    </row>
    <row r="4" spans="1:14" x14ac:dyDescent="0.3">
      <c r="B4" t="s">
        <v>52</v>
      </c>
      <c r="C4">
        <v>0</v>
      </c>
      <c r="D4" t="s">
        <v>57</v>
      </c>
      <c r="E4" t="e">
        <f>IF(G9&lt;G4,(0/G8)*C8,IF(G9&gt;G7,(G8/G8)*C8,(G9/G8)*C8))</f>
        <v>#REF!</v>
      </c>
      <c r="F4" t="s">
        <v>60</v>
      </c>
      <c r="G4">
        <v>0</v>
      </c>
      <c r="H4" t="s">
        <v>60</v>
      </c>
      <c r="I4">
        <v>0</v>
      </c>
      <c r="J4" t="s">
        <v>57</v>
      </c>
      <c r="K4" t="e">
        <f>IF(I9&lt;I4,I4/I8*C8,IF(I9&gt;I7,I8/I8*C8, ((I9-I4)/I8)*C8))</f>
        <v>#REF!</v>
      </c>
    </row>
    <row r="5" spans="1:14" x14ac:dyDescent="0.3">
      <c r="B5" t="s">
        <v>53</v>
      </c>
      <c r="C5">
        <f>((G5-G4)/G8)*C8</f>
        <v>25</v>
      </c>
      <c r="D5" t="s">
        <v>51</v>
      </c>
      <c r="E5">
        <v>1</v>
      </c>
      <c r="F5" t="s">
        <v>61</v>
      </c>
      <c r="G5">
        <v>25000</v>
      </c>
      <c r="H5" t="s">
        <v>61</v>
      </c>
      <c r="I5">
        <v>25000</v>
      </c>
      <c r="J5" t="s">
        <v>51</v>
      </c>
      <c r="K5">
        <v>1</v>
      </c>
    </row>
    <row r="6" spans="1:14" x14ac:dyDescent="0.3">
      <c r="B6" t="s">
        <v>54</v>
      </c>
      <c r="C6">
        <f>((G6-G5)/G8)*C8</f>
        <v>25</v>
      </c>
      <c r="D6" t="s">
        <v>55</v>
      </c>
      <c r="E6" t="e">
        <f>(C8+C7+C6+C5+C4) - (E4+E5)</f>
        <v>#REF!</v>
      </c>
      <c r="F6" t="s">
        <v>62</v>
      </c>
      <c r="G6">
        <v>50000</v>
      </c>
      <c r="H6" t="s">
        <v>62</v>
      </c>
      <c r="I6">
        <v>50000</v>
      </c>
      <c r="J6" t="s">
        <v>55</v>
      </c>
      <c r="K6" t="e">
        <f>(C8+C7+C6+C5+C4) - (K4+K5)</f>
        <v>#REF!</v>
      </c>
    </row>
    <row r="7" spans="1:14" x14ac:dyDescent="0.3">
      <c r="B7" t="s">
        <v>55</v>
      </c>
      <c r="C7">
        <f>((G7-G6)/G8)*C8</f>
        <v>50</v>
      </c>
      <c r="F7" t="s">
        <v>63</v>
      </c>
      <c r="G7">
        <v>100000</v>
      </c>
      <c r="H7" t="s">
        <v>63</v>
      </c>
      <c r="I7">
        <v>100000</v>
      </c>
    </row>
    <row r="8" spans="1:14" x14ac:dyDescent="0.3">
      <c r="B8" t="s">
        <v>56</v>
      </c>
      <c r="C8">
        <v>100</v>
      </c>
      <c r="F8" t="s">
        <v>56</v>
      </c>
      <c r="G8">
        <f>G7-G4</f>
        <v>100000</v>
      </c>
      <c r="H8" t="s">
        <v>56</v>
      </c>
      <c r="I8">
        <f>I7-I4</f>
        <v>100000</v>
      </c>
    </row>
    <row r="9" spans="1:14" x14ac:dyDescent="0.3">
      <c r="F9" t="s">
        <v>57</v>
      </c>
      <c r="G9" t="e">
        <f>' Rekenblad 1'!D13</f>
        <v>#REF!</v>
      </c>
      <c r="H9" t="s">
        <v>57</v>
      </c>
      <c r="I9" t="e">
        <f>' Rekenblad 1'!H13</f>
        <v>#REF!</v>
      </c>
      <c r="N9">
        <f>C8+C7+C6+C5+C4</f>
        <v>200</v>
      </c>
    </row>
    <row r="10" spans="1:14" x14ac:dyDescent="0.3">
      <c r="A10" t="s">
        <v>14</v>
      </c>
      <c r="B10" t="s">
        <v>52</v>
      </c>
      <c r="C10" s="12">
        <v>0</v>
      </c>
      <c r="D10" t="s">
        <v>57</v>
      </c>
      <c r="E10" s="11" t="e">
        <f>IF(G15&lt;G10,(0/G14)*C14,IF(G15&gt;G13,(G14/G14)*C14,((G15-G10)/G14)*C14))</f>
        <v>#REF!</v>
      </c>
      <c r="F10" t="s">
        <v>60</v>
      </c>
      <c r="G10">
        <v>-5</v>
      </c>
      <c r="H10" t="s">
        <v>60</v>
      </c>
      <c r="I10">
        <v>-5</v>
      </c>
      <c r="J10" t="s">
        <v>57</v>
      </c>
      <c r="K10" s="11" t="e">
        <f>IF(I15&lt;I10,0/I14*C14,IF(I15&gt;I13,I14/I14*C14, ((I15-I10)/I14)*C14))</f>
        <v>#REF!</v>
      </c>
    </row>
    <row r="11" spans="1:14" x14ac:dyDescent="0.3">
      <c r="B11" t="s">
        <v>53</v>
      </c>
      <c r="C11" s="12">
        <f>((G11-G10)/G14)*C14</f>
        <v>35.294117647058826</v>
      </c>
      <c r="D11" t="s">
        <v>51</v>
      </c>
      <c r="E11" s="11">
        <v>1</v>
      </c>
      <c r="F11" t="s">
        <v>61</v>
      </c>
      <c r="G11">
        <v>1</v>
      </c>
      <c r="H11" t="s">
        <v>61</v>
      </c>
      <c r="I11">
        <v>1</v>
      </c>
      <c r="J11" t="s">
        <v>51</v>
      </c>
      <c r="K11" s="11">
        <v>1</v>
      </c>
    </row>
    <row r="12" spans="1:14" x14ac:dyDescent="0.3">
      <c r="B12" t="s">
        <v>54</v>
      </c>
      <c r="C12" s="12">
        <f>((G12-G11)/G14)*C14</f>
        <v>29.411764705882355</v>
      </c>
      <c r="D12" t="s">
        <v>55</v>
      </c>
      <c r="E12" s="11" t="e">
        <f>(C14+C13+C12+C11+C10) - (E10+E11)</f>
        <v>#REF!</v>
      </c>
      <c r="F12" t="s">
        <v>62</v>
      </c>
      <c r="G12">
        <v>6</v>
      </c>
      <c r="H12" t="s">
        <v>62</v>
      </c>
      <c r="I12">
        <v>6</v>
      </c>
      <c r="J12" t="s">
        <v>55</v>
      </c>
      <c r="K12" s="74" t="e">
        <f>(C14+C13+C12+C11+C10) - (K10+K11)</f>
        <v>#REF!</v>
      </c>
    </row>
    <row r="13" spans="1:14" x14ac:dyDescent="0.3">
      <c r="B13" t="s">
        <v>55</v>
      </c>
      <c r="C13" s="12">
        <f>((G13-G12)/G14)*C14</f>
        <v>35.294117647058826</v>
      </c>
      <c r="F13" t="s">
        <v>63</v>
      </c>
      <c r="G13" s="13">
        <v>12</v>
      </c>
      <c r="H13" t="s">
        <v>63</v>
      </c>
      <c r="I13" s="13">
        <v>12</v>
      </c>
    </row>
    <row r="14" spans="1:14" x14ac:dyDescent="0.3">
      <c r="B14" t="s">
        <v>56</v>
      </c>
      <c r="C14" s="12">
        <v>100</v>
      </c>
      <c r="F14" t="s">
        <v>56</v>
      </c>
      <c r="G14" s="13">
        <f>G13-G10</f>
        <v>17</v>
      </c>
      <c r="H14" t="s">
        <v>56</v>
      </c>
      <c r="I14" s="13">
        <f>I13-I10</f>
        <v>17</v>
      </c>
    </row>
    <row r="15" spans="1:14" x14ac:dyDescent="0.3">
      <c r="F15" t="s">
        <v>57</v>
      </c>
      <c r="G15" s="13" t="e">
        <f>' Rekenblad 1'!D17*100</f>
        <v>#REF!</v>
      </c>
      <c r="H15" t="s">
        <v>57</v>
      </c>
      <c r="I15" s="13" t="e">
        <f>' Rekenblad 1'!H17*100</f>
        <v>#REF!</v>
      </c>
    </row>
    <row r="16" spans="1:14" x14ac:dyDescent="0.3">
      <c r="A16" t="s">
        <v>13</v>
      </c>
      <c r="B16" t="s">
        <v>52</v>
      </c>
      <c r="C16" s="11">
        <v>0</v>
      </c>
      <c r="D16" t="s">
        <v>57</v>
      </c>
      <c r="E16" s="11" t="e">
        <f>IF(G21&lt;G16,(0/G20)*C20,IF(G21&gt;G19,(G20/G20)*C20,(G21-G16)/G20)*C20)</f>
        <v>#REF!</v>
      </c>
      <c r="F16" t="s">
        <v>60</v>
      </c>
      <c r="G16" s="13">
        <v>-5</v>
      </c>
      <c r="H16" t="s">
        <v>60</v>
      </c>
      <c r="I16" s="13">
        <v>-5</v>
      </c>
      <c r="J16" t="s">
        <v>57</v>
      </c>
      <c r="K16" s="11" t="e">
        <f>IF(I21&lt;I16,I16/I20*C20,IF(I21&gt;I19,I20/I20*C20, ((I21-I16)/I20)*C20))</f>
        <v>#REF!</v>
      </c>
    </row>
    <row r="17" spans="1:11" x14ac:dyDescent="0.3">
      <c r="B17" t="s">
        <v>53</v>
      </c>
      <c r="C17" s="11">
        <f>((G17-G16)/G20)*C20</f>
        <v>40</v>
      </c>
      <c r="D17" t="s">
        <v>51</v>
      </c>
      <c r="E17" s="11">
        <v>1</v>
      </c>
      <c r="F17" t="s">
        <v>61</v>
      </c>
      <c r="G17" s="13">
        <v>3</v>
      </c>
      <c r="H17" t="s">
        <v>61</v>
      </c>
      <c r="I17" s="13">
        <v>3</v>
      </c>
      <c r="J17" t="s">
        <v>51</v>
      </c>
      <c r="K17" s="11">
        <v>1</v>
      </c>
    </row>
    <row r="18" spans="1:11" x14ac:dyDescent="0.3">
      <c r="B18" t="s">
        <v>54</v>
      </c>
      <c r="C18" s="11">
        <f>((G18-G17)/G20)*100</f>
        <v>25</v>
      </c>
      <c r="D18" t="s">
        <v>55</v>
      </c>
      <c r="E18" s="11" t="e">
        <f>(C20+C19+C18+C17+C16) -(E16+E17)</f>
        <v>#REF!</v>
      </c>
      <c r="F18" t="s">
        <v>62</v>
      </c>
      <c r="G18" s="13">
        <v>8</v>
      </c>
      <c r="H18" t="s">
        <v>62</v>
      </c>
      <c r="I18" s="13">
        <v>8</v>
      </c>
      <c r="J18" t="s">
        <v>55</v>
      </c>
      <c r="K18" s="11" t="e">
        <f>(C20+C19+C18+C17+C16) -(K16+K17)</f>
        <v>#REF!</v>
      </c>
    </row>
    <row r="19" spans="1:11" x14ac:dyDescent="0.3">
      <c r="B19" t="s">
        <v>55</v>
      </c>
      <c r="C19" s="11">
        <f>((G19-G18)/G20)*C20</f>
        <v>35</v>
      </c>
      <c r="E19" s="13"/>
      <c r="F19" t="s">
        <v>63</v>
      </c>
      <c r="G19" s="13">
        <v>15</v>
      </c>
      <c r="H19" t="s">
        <v>63</v>
      </c>
      <c r="I19" s="13">
        <v>15</v>
      </c>
      <c r="K19" s="13"/>
    </row>
    <row r="20" spans="1:11" x14ac:dyDescent="0.3">
      <c r="B20" t="s">
        <v>56</v>
      </c>
      <c r="C20" s="11">
        <v>100</v>
      </c>
      <c r="F20" t="s">
        <v>56</v>
      </c>
      <c r="G20" s="13">
        <f>G19-G16</f>
        <v>20</v>
      </c>
      <c r="H20" t="s">
        <v>56</v>
      </c>
      <c r="I20" s="13">
        <f>I19-I16</f>
        <v>20</v>
      </c>
    </row>
    <row r="21" spans="1:11" x14ac:dyDescent="0.3">
      <c r="F21" t="s">
        <v>57</v>
      </c>
      <c r="G21" s="13" t="e">
        <f>' Rekenblad 1'!D15*100</f>
        <v>#REF!</v>
      </c>
      <c r="H21" t="s">
        <v>57</v>
      </c>
      <c r="I21" s="13" t="e">
        <f>' Rekenblad 1'!H15*100</f>
        <v>#REF!</v>
      </c>
    </row>
    <row r="22" spans="1:11" x14ac:dyDescent="0.3">
      <c r="A22" t="s">
        <v>22</v>
      </c>
      <c r="B22" t="s">
        <v>52</v>
      </c>
      <c r="C22">
        <v>0</v>
      </c>
      <c r="D22" t="s">
        <v>57</v>
      </c>
      <c r="E22" t="e">
        <f>IF(G27&lt;G22,(0/G26)*C26,IF(G27&gt;G25,(G26/G26)*C26,(G27-G22)/G26*C26))</f>
        <v>#REF!</v>
      </c>
      <c r="F22" t="s">
        <v>60</v>
      </c>
      <c r="G22" s="13">
        <v>0</v>
      </c>
      <c r="H22" t="s">
        <v>60</v>
      </c>
      <c r="I22" s="13">
        <v>0</v>
      </c>
      <c r="J22" t="s">
        <v>57</v>
      </c>
      <c r="K22" t="e">
        <f>IF(I27&lt;I22,I22/I26*C26,IF(I27&gt;I25,I26/I26*C26, ((I27-I22)/I26)*C26))</f>
        <v>#REF!</v>
      </c>
    </row>
    <row r="23" spans="1:11" x14ac:dyDescent="0.3">
      <c r="B23" t="s">
        <v>53</v>
      </c>
      <c r="C23">
        <f>((G23-G22)/G26)*100</f>
        <v>26.666666666666668</v>
      </c>
      <c r="D23" t="s">
        <v>51</v>
      </c>
      <c r="E23">
        <v>1</v>
      </c>
      <c r="F23" t="s">
        <v>61</v>
      </c>
      <c r="G23" s="13">
        <v>40000</v>
      </c>
      <c r="H23" t="s">
        <v>61</v>
      </c>
      <c r="I23" s="13">
        <v>40000</v>
      </c>
      <c r="J23" t="s">
        <v>51</v>
      </c>
      <c r="K23">
        <v>1</v>
      </c>
    </row>
    <row r="24" spans="1:11" x14ac:dyDescent="0.3">
      <c r="B24" t="s">
        <v>54</v>
      </c>
      <c r="C24">
        <f>((G24-G23)/G26)*C26</f>
        <v>26.666666666666668</v>
      </c>
      <c r="D24" t="s">
        <v>55</v>
      </c>
      <c r="E24" t="e">
        <f>(C22+C23+C24+C25+C26)-(E22+E23)</f>
        <v>#REF!</v>
      </c>
      <c r="F24" t="s">
        <v>62</v>
      </c>
      <c r="G24" s="13">
        <v>80000</v>
      </c>
      <c r="H24" t="s">
        <v>62</v>
      </c>
      <c r="I24" s="13">
        <v>80000</v>
      </c>
      <c r="J24" t="s">
        <v>55</v>
      </c>
      <c r="K24" t="e">
        <f>(C22+C23+C24+C25+C26)-(K22+K23)</f>
        <v>#REF!</v>
      </c>
    </row>
    <row r="25" spans="1:11" x14ac:dyDescent="0.3">
      <c r="B25" t="s">
        <v>55</v>
      </c>
      <c r="C25">
        <f>((G25-G24)/G26)*C26</f>
        <v>46.666666666666664</v>
      </c>
      <c r="F25" t="s">
        <v>63</v>
      </c>
      <c r="G25" s="13">
        <v>150000</v>
      </c>
      <c r="H25" t="s">
        <v>63</v>
      </c>
      <c r="I25" s="13">
        <v>150000</v>
      </c>
    </row>
    <row r="26" spans="1:11" x14ac:dyDescent="0.3">
      <c r="B26" t="s">
        <v>56</v>
      </c>
      <c r="C26">
        <v>100</v>
      </c>
      <c r="F26" t="s">
        <v>56</v>
      </c>
      <c r="G26" s="13">
        <f>G25-G22</f>
        <v>150000</v>
      </c>
      <c r="H26" t="s">
        <v>56</v>
      </c>
      <c r="I26" s="13">
        <f>I25-I22</f>
        <v>150000</v>
      </c>
    </row>
    <row r="27" spans="1:11" x14ac:dyDescent="0.3">
      <c r="F27" t="s">
        <v>57</v>
      </c>
      <c r="G27" t="e">
        <f>' Rekenblad 1'!D21</f>
        <v>#REF!</v>
      </c>
      <c r="H27" t="s">
        <v>57</v>
      </c>
      <c r="I27" t="e">
        <f>' Rekenblad 1'!H21</f>
        <v>#REF!</v>
      </c>
    </row>
    <row r="28" spans="1:11" x14ac:dyDescent="0.3">
      <c r="A28" t="s">
        <v>69</v>
      </c>
      <c r="B28" t="s">
        <v>52</v>
      </c>
      <c r="C28">
        <v>0</v>
      </c>
      <c r="D28" t="s">
        <v>57</v>
      </c>
      <c r="E28" t="e">
        <f>IF(G33&lt;G28,(0/G32)*C32,IF(G33&gt;G32,(G32/G32)*C32,((G33-G28)/G32)*C32))</f>
        <v>#REF!</v>
      </c>
      <c r="F28" t="s">
        <v>60</v>
      </c>
      <c r="G28" s="13">
        <v>0</v>
      </c>
      <c r="H28" t="s">
        <v>60</v>
      </c>
      <c r="I28" s="13">
        <v>0</v>
      </c>
      <c r="J28" t="s">
        <v>57</v>
      </c>
      <c r="K28" t="e">
        <f>IF(I33&lt;I28,I28/I32*C32,IF(I33&gt;I31,I32/I32*C32, ((I33-I28)/I32)*C32))</f>
        <v>#REF!</v>
      </c>
    </row>
    <row r="29" spans="1:11" x14ac:dyDescent="0.3">
      <c r="B29" t="s">
        <v>53</v>
      </c>
      <c r="C29">
        <f>((G29-G28)/G32)*C32</f>
        <v>28.571428571428569</v>
      </c>
      <c r="D29" t="s">
        <v>51</v>
      </c>
      <c r="E29">
        <v>1</v>
      </c>
      <c r="F29" t="s">
        <v>61</v>
      </c>
      <c r="G29" s="13">
        <v>1</v>
      </c>
      <c r="H29" t="s">
        <v>61</v>
      </c>
      <c r="I29" s="13">
        <v>1</v>
      </c>
      <c r="J29" t="s">
        <v>51</v>
      </c>
      <c r="K29">
        <v>1</v>
      </c>
    </row>
    <row r="30" spans="1:11" x14ac:dyDescent="0.3">
      <c r="B30" t="s">
        <v>54</v>
      </c>
      <c r="C30">
        <f>((G30-G29)/G32)*C32</f>
        <v>14.285714285714285</v>
      </c>
      <c r="D30" t="s">
        <v>55</v>
      </c>
      <c r="E30" t="e">
        <f>(C32*2)-(E28+E29)</f>
        <v>#REF!</v>
      </c>
      <c r="F30" t="s">
        <v>62</v>
      </c>
      <c r="G30" s="13">
        <v>1.5</v>
      </c>
      <c r="H30" t="s">
        <v>62</v>
      </c>
      <c r="I30" s="13">
        <v>1.5</v>
      </c>
      <c r="J30" t="s">
        <v>55</v>
      </c>
      <c r="K30" t="e">
        <f>(C32*2)-(K28+K29)</f>
        <v>#REF!</v>
      </c>
    </row>
    <row r="31" spans="1:11" x14ac:dyDescent="0.3">
      <c r="B31" t="s">
        <v>55</v>
      </c>
      <c r="C31">
        <f>((G31-G30)/G32)*C32</f>
        <v>57.142857142857139</v>
      </c>
      <c r="F31" t="s">
        <v>63</v>
      </c>
      <c r="G31" s="13">
        <v>3.5</v>
      </c>
      <c r="H31" t="s">
        <v>63</v>
      </c>
      <c r="I31" s="13">
        <v>3.5</v>
      </c>
    </row>
    <row r="32" spans="1:11" x14ac:dyDescent="0.3">
      <c r="B32" t="s">
        <v>56</v>
      </c>
      <c r="C32">
        <v>100</v>
      </c>
      <c r="F32" t="s">
        <v>56</v>
      </c>
      <c r="G32" s="13">
        <f>G31-G28</f>
        <v>3.5</v>
      </c>
      <c r="H32" t="s">
        <v>56</v>
      </c>
      <c r="I32" s="13">
        <f>I31-I28</f>
        <v>3.5</v>
      </c>
    </row>
    <row r="33" spans="1:11" x14ac:dyDescent="0.3">
      <c r="F33" t="s">
        <v>57</v>
      </c>
      <c r="G33" t="e">
        <f>' Rekenblad 1'!D37</f>
        <v>#REF!</v>
      </c>
      <c r="H33" t="s">
        <v>57</v>
      </c>
      <c r="I33" t="e">
        <f>' Rekenblad 1'!H37</f>
        <v>#REF!</v>
      </c>
    </row>
    <row r="34" spans="1:11" x14ac:dyDescent="0.3">
      <c r="A34" t="s">
        <v>58</v>
      </c>
      <c r="B34" t="s">
        <v>52</v>
      </c>
      <c r="C34" s="11">
        <v>0</v>
      </c>
      <c r="D34" t="s">
        <v>57</v>
      </c>
      <c r="E34" s="11" t="e">
        <f>IF(G39&lt;G34,(0/G38)*C38,IF(G39&gt;G37,(G38/G38)*C38,((G39-G34)/G38)*C38))</f>
        <v>#REF!</v>
      </c>
      <c r="F34" t="s">
        <v>60</v>
      </c>
      <c r="G34" s="13">
        <v>-10</v>
      </c>
      <c r="H34" t="s">
        <v>60</v>
      </c>
      <c r="I34" s="13">
        <v>-10</v>
      </c>
      <c r="J34" t="s">
        <v>57</v>
      </c>
      <c r="K34" s="11" t="e">
        <f>IF(I39&lt;I34,I34/I38*C38,IF(I39&gt;I37,I38/I38*C38,((I39-I34))/I38)*C38)</f>
        <v>#REF!</v>
      </c>
    </row>
    <row r="35" spans="1:11" x14ac:dyDescent="0.3">
      <c r="B35" t="s">
        <v>53</v>
      </c>
      <c r="C35" s="11">
        <f>((G35-G34)/G38)*C38</f>
        <v>33.333333333333329</v>
      </c>
      <c r="D35" t="s">
        <v>51</v>
      </c>
      <c r="E35" s="11">
        <v>1</v>
      </c>
      <c r="F35" t="s">
        <v>61</v>
      </c>
      <c r="G35" s="13">
        <v>10</v>
      </c>
      <c r="H35" t="s">
        <v>61</v>
      </c>
      <c r="I35" s="13">
        <v>10</v>
      </c>
      <c r="J35" t="s">
        <v>51</v>
      </c>
      <c r="K35" s="11">
        <v>1</v>
      </c>
    </row>
    <row r="36" spans="1:11" x14ac:dyDescent="0.3">
      <c r="B36" t="s">
        <v>54</v>
      </c>
      <c r="C36" s="11">
        <f>((G36-G35)/G38)*C38</f>
        <v>33.333333333333329</v>
      </c>
      <c r="D36" t="s">
        <v>55</v>
      </c>
      <c r="E36" s="11" t="e">
        <f>(2*C38)-(E34+E35)</f>
        <v>#REF!</v>
      </c>
      <c r="F36" t="s">
        <v>62</v>
      </c>
      <c r="G36" s="13">
        <v>30</v>
      </c>
      <c r="H36" t="s">
        <v>62</v>
      </c>
      <c r="I36" s="13">
        <v>30</v>
      </c>
      <c r="J36" t="s">
        <v>55</v>
      </c>
      <c r="K36" s="11" t="e">
        <f>(2*C38)-(K34+K35)</f>
        <v>#REF!</v>
      </c>
    </row>
    <row r="37" spans="1:11" x14ac:dyDescent="0.3">
      <c r="B37" t="s">
        <v>55</v>
      </c>
      <c r="C37" s="11">
        <f>((G37-G36)/G38)*C38</f>
        <v>33.333333333333329</v>
      </c>
      <c r="F37" t="s">
        <v>63</v>
      </c>
      <c r="G37" s="13">
        <v>50</v>
      </c>
      <c r="H37" t="s">
        <v>63</v>
      </c>
      <c r="I37" s="13">
        <v>50</v>
      </c>
    </row>
    <row r="38" spans="1:11" x14ac:dyDescent="0.3">
      <c r="B38" t="s">
        <v>56</v>
      </c>
      <c r="C38" s="11">
        <v>100</v>
      </c>
      <c r="F38" t="s">
        <v>56</v>
      </c>
      <c r="G38" s="13">
        <f>G37-G34</f>
        <v>60</v>
      </c>
      <c r="H38" t="s">
        <v>56</v>
      </c>
      <c r="I38" s="13">
        <f>I37-I34</f>
        <v>60</v>
      </c>
    </row>
    <row r="39" spans="1:11" x14ac:dyDescent="0.3">
      <c r="F39" t="s">
        <v>57</v>
      </c>
      <c r="G39" s="13" t="e">
        <f>' Rekenblad 1'!D39*100</f>
        <v>#REF!</v>
      </c>
      <c r="H39" t="s">
        <v>57</v>
      </c>
      <c r="I39" s="13" t="e">
        <f>' Rekenblad 1'!H39*100</f>
        <v>#REF!</v>
      </c>
    </row>
    <row r="40" spans="1:11" x14ac:dyDescent="0.3">
      <c r="A40" t="s">
        <v>16</v>
      </c>
      <c r="B40" t="s">
        <v>52</v>
      </c>
      <c r="C40">
        <v>0</v>
      </c>
      <c r="D40" t="s">
        <v>57</v>
      </c>
      <c r="E40" t="e">
        <f>IF(G45&lt;G40,(0/G44)*C44,IF(G45&gt;G43,(G44/G44)*C44,((G45-G40)/G44)*C44))</f>
        <v>#REF!</v>
      </c>
      <c r="F40" t="s">
        <v>60</v>
      </c>
      <c r="G40" s="13">
        <v>0</v>
      </c>
      <c r="H40" t="s">
        <v>60</v>
      </c>
      <c r="I40" s="13">
        <v>0</v>
      </c>
      <c r="J40" t="s">
        <v>57</v>
      </c>
      <c r="K40" t="e">
        <f>IF(I45&lt;I40,I40/I44*C44,IF(I45&gt;I43,I44/I44*C44, ((I45-I40)/I44)*C44))</f>
        <v>#REF!</v>
      </c>
    </row>
    <row r="41" spans="1:11" x14ac:dyDescent="0.3">
      <c r="B41" t="s">
        <v>53</v>
      </c>
      <c r="C41">
        <f>((G41-G40)/G44)*C44</f>
        <v>25</v>
      </c>
      <c r="D41" t="s">
        <v>51</v>
      </c>
      <c r="E41">
        <v>1</v>
      </c>
      <c r="F41" t="s">
        <v>61</v>
      </c>
      <c r="G41" s="13">
        <v>50000</v>
      </c>
      <c r="H41" t="s">
        <v>61</v>
      </c>
      <c r="I41" s="13">
        <v>50000</v>
      </c>
      <c r="J41" t="s">
        <v>51</v>
      </c>
      <c r="K41">
        <v>1</v>
      </c>
    </row>
    <row r="42" spans="1:11" x14ac:dyDescent="0.3">
      <c r="B42" t="s">
        <v>54</v>
      </c>
      <c r="C42">
        <f>((G42-G41)/G44)*C44</f>
        <v>25</v>
      </c>
      <c r="D42" t="s">
        <v>55</v>
      </c>
      <c r="E42" t="e">
        <f>(2*C44)-(E40+E41)</f>
        <v>#REF!</v>
      </c>
      <c r="F42" t="s">
        <v>62</v>
      </c>
      <c r="G42" s="13">
        <v>100000</v>
      </c>
      <c r="H42" t="s">
        <v>62</v>
      </c>
      <c r="I42" s="13">
        <v>100000</v>
      </c>
      <c r="J42" t="s">
        <v>55</v>
      </c>
      <c r="K42" t="e">
        <f>(2*C44)-(K40+K41)</f>
        <v>#REF!</v>
      </c>
    </row>
    <row r="43" spans="1:11" x14ac:dyDescent="0.3">
      <c r="B43" t="s">
        <v>55</v>
      </c>
      <c r="C43">
        <f>((G43-G42)/G44)*C44</f>
        <v>50</v>
      </c>
      <c r="F43" t="s">
        <v>63</v>
      </c>
      <c r="G43" s="13">
        <v>200000</v>
      </c>
      <c r="H43" t="s">
        <v>63</v>
      </c>
      <c r="I43" s="13">
        <v>200000</v>
      </c>
    </row>
    <row r="44" spans="1:11" x14ac:dyDescent="0.3">
      <c r="B44" t="s">
        <v>56</v>
      </c>
      <c r="C44">
        <v>100</v>
      </c>
      <c r="F44" t="s">
        <v>56</v>
      </c>
      <c r="G44" s="13">
        <f>G43-G40</f>
        <v>200000</v>
      </c>
      <c r="H44" t="s">
        <v>56</v>
      </c>
      <c r="I44" s="13">
        <f>I43-I40</f>
        <v>200000</v>
      </c>
    </row>
    <row r="45" spans="1:11" x14ac:dyDescent="0.3">
      <c r="F45" t="s">
        <v>57</v>
      </c>
      <c r="G45" t="e">
        <f>' Rekenblad 1'!D43</f>
        <v>#REF!</v>
      </c>
      <c r="H45" t="s">
        <v>57</v>
      </c>
      <c r="I45" t="e">
        <f>' Rekenblad 1'!H43</f>
        <v>#REF!</v>
      </c>
    </row>
    <row r="46" spans="1:11" x14ac:dyDescent="0.3">
      <c r="A46" t="s">
        <v>17</v>
      </c>
      <c r="B46" t="s">
        <v>52</v>
      </c>
      <c r="C46">
        <v>0</v>
      </c>
      <c r="D46" t="s">
        <v>57</v>
      </c>
      <c r="E46" t="e">
        <f>IF(G51&lt;G46,(0/G50)*C50,IF(G51&gt;G49,(G50/G50)*C50,((G51-G46)/G50)*C50))</f>
        <v>#REF!</v>
      </c>
      <c r="F46" t="s">
        <v>60</v>
      </c>
      <c r="G46" s="13">
        <v>0</v>
      </c>
      <c r="H46" t="s">
        <v>60</v>
      </c>
      <c r="I46" s="13">
        <v>0</v>
      </c>
      <c r="J46" t="s">
        <v>57</v>
      </c>
      <c r="K46" t="e">
        <f>IF(I51&lt;I46,I46/I50*C50,IF(I51&gt;I49,I50/I50*C50, ((I51-I46)/I50)*C50))</f>
        <v>#REF!</v>
      </c>
    </row>
    <row r="47" spans="1:11" x14ac:dyDescent="0.3">
      <c r="B47" t="s">
        <v>53</v>
      </c>
      <c r="C47">
        <f>((G47-G46)/G50)*C50</f>
        <v>16.666666666666664</v>
      </c>
      <c r="D47" t="s">
        <v>51</v>
      </c>
      <c r="E47">
        <v>1</v>
      </c>
      <c r="F47" t="s">
        <v>61</v>
      </c>
      <c r="G47" s="13">
        <v>25000</v>
      </c>
      <c r="H47" t="s">
        <v>61</v>
      </c>
      <c r="I47" s="13">
        <v>25000</v>
      </c>
      <c r="J47" t="s">
        <v>51</v>
      </c>
      <c r="K47">
        <v>1</v>
      </c>
    </row>
    <row r="48" spans="1:11" x14ac:dyDescent="0.3">
      <c r="B48" t="s">
        <v>54</v>
      </c>
      <c r="C48">
        <f>((G48-G47)/G50)*C50</f>
        <v>33.333333333333329</v>
      </c>
      <c r="D48" t="s">
        <v>55</v>
      </c>
      <c r="E48" t="e">
        <f>200-(E46+E47)</f>
        <v>#REF!</v>
      </c>
      <c r="F48" t="s">
        <v>62</v>
      </c>
      <c r="G48" s="13">
        <v>75000</v>
      </c>
      <c r="H48" t="s">
        <v>62</v>
      </c>
      <c r="I48" s="13">
        <v>75000</v>
      </c>
      <c r="J48" t="s">
        <v>55</v>
      </c>
      <c r="K48" t="e">
        <f>200-(K46+K47)</f>
        <v>#REF!</v>
      </c>
    </row>
    <row r="49" spans="1:14" x14ac:dyDescent="0.3">
      <c r="B49" t="s">
        <v>55</v>
      </c>
      <c r="C49">
        <f>((G49-G48)/G50)*C50</f>
        <v>50</v>
      </c>
      <c r="F49" t="s">
        <v>63</v>
      </c>
      <c r="G49" s="13">
        <v>150000</v>
      </c>
      <c r="H49" t="s">
        <v>63</v>
      </c>
      <c r="I49" s="13">
        <v>150000</v>
      </c>
    </row>
    <row r="50" spans="1:14" x14ac:dyDescent="0.3">
      <c r="B50" t="s">
        <v>56</v>
      </c>
      <c r="C50">
        <v>100</v>
      </c>
      <c r="F50" t="s">
        <v>56</v>
      </c>
      <c r="G50" s="13">
        <v>150000</v>
      </c>
      <c r="H50" t="s">
        <v>56</v>
      </c>
      <c r="I50" s="13">
        <v>150000</v>
      </c>
    </row>
    <row r="51" spans="1:14" x14ac:dyDescent="0.3">
      <c r="F51" t="s">
        <v>57</v>
      </c>
      <c r="G51" t="e">
        <f>' Rekenblad 1'!D45</f>
        <v>#REF!</v>
      </c>
      <c r="H51" t="s">
        <v>57</v>
      </c>
      <c r="I51" t="e">
        <f>' Rekenblad 1'!H45</f>
        <v>#REF!</v>
      </c>
    </row>
    <row r="52" spans="1:14" x14ac:dyDescent="0.3">
      <c r="A52" t="s">
        <v>36</v>
      </c>
      <c r="B52" t="s">
        <v>52</v>
      </c>
      <c r="C52">
        <v>0</v>
      </c>
      <c r="D52" t="s">
        <v>57</v>
      </c>
      <c r="E52" t="e">
        <f>IF(G57&lt;G52,(0/G56)*C56,IF(G57&gt;G55,(G56/G56)*C56,((G57-G52)/G56)*C56))</f>
        <v>#REF!</v>
      </c>
      <c r="F52" t="s">
        <v>60</v>
      </c>
      <c r="G52" s="13">
        <v>0</v>
      </c>
      <c r="H52" t="s">
        <v>60</v>
      </c>
      <c r="I52" s="13">
        <v>0</v>
      </c>
      <c r="J52" t="s">
        <v>57</v>
      </c>
      <c r="K52" t="e">
        <f>IF(I57&lt;I52,I52/I56*C56,IF(I57&gt;I55,I56/I56*C56, ((I57-I52)/I56)*C56))</f>
        <v>#REF!</v>
      </c>
    </row>
    <row r="53" spans="1:14" x14ac:dyDescent="0.3">
      <c r="B53" t="s">
        <v>53</v>
      </c>
      <c r="C53">
        <f>((G53-G52)/G56)*C56</f>
        <v>30</v>
      </c>
      <c r="D53" t="s">
        <v>51</v>
      </c>
      <c r="E53">
        <v>1</v>
      </c>
      <c r="F53" t="s">
        <v>61</v>
      </c>
      <c r="G53" s="13">
        <v>30</v>
      </c>
      <c r="H53" t="s">
        <v>61</v>
      </c>
      <c r="I53" s="13">
        <v>30</v>
      </c>
      <c r="J53" t="s">
        <v>51</v>
      </c>
      <c r="K53">
        <v>1</v>
      </c>
    </row>
    <row r="54" spans="1:14" x14ac:dyDescent="0.3">
      <c r="B54" t="s">
        <v>54</v>
      </c>
      <c r="C54">
        <f>((G54-G53)/G56)*C56</f>
        <v>30</v>
      </c>
      <c r="D54" t="s">
        <v>55</v>
      </c>
      <c r="E54" t="e">
        <f>200-(E52+E53)</f>
        <v>#REF!</v>
      </c>
      <c r="F54" t="s">
        <v>62</v>
      </c>
      <c r="G54" s="13">
        <v>60</v>
      </c>
      <c r="H54" t="s">
        <v>62</v>
      </c>
      <c r="I54" s="13">
        <v>60</v>
      </c>
      <c r="J54" t="s">
        <v>55</v>
      </c>
      <c r="K54" t="e">
        <f>200-(K52+K53)</f>
        <v>#REF!</v>
      </c>
    </row>
    <row r="55" spans="1:14" x14ac:dyDescent="0.3">
      <c r="B55" t="s">
        <v>55</v>
      </c>
      <c r="C55">
        <f>((G55-G54)/G56)*C56</f>
        <v>40</v>
      </c>
      <c r="F55" t="s">
        <v>63</v>
      </c>
      <c r="G55" s="13">
        <v>100</v>
      </c>
      <c r="H55" t="s">
        <v>63</v>
      </c>
      <c r="I55" s="13">
        <v>100</v>
      </c>
    </row>
    <row r="56" spans="1:14" x14ac:dyDescent="0.3">
      <c r="B56" t="s">
        <v>56</v>
      </c>
      <c r="C56">
        <v>100</v>
      </c>
      <c r="F56" t="s">
        <v>56</v>
      </c>
      <c r="G56" s="13">
        <f>G55-G52</f>
        <v>100</v>
      </c>
      <c r="H56" t="s">
        <v>56</v>
      </c>
      <c r="I56" s="13">
        <f>I55-I52</f>
        <v>100</v>
      </c>
    </row>
    <row r="57" spans="1:14" x14ac:dyDescent="0.3">
      <c r="F57" t="s">
        <v>57</v>
      </c>
      <c r="G57" s="13" t="e">
        <f>' Rekenblad 1'!D9*100</f>
        <v>#REF!</v>
      </c>
      <c r="H57" t="s">
        <v>57</v>
      </c>
      <c r="I57" s="13" t="e">
        <f>' Rekenblad 1'!H9*100</f>
        <v>#REF!</v>
      </c>
    </row>
    <row r="58" spans="1:14" x14ac:dyDescent="0.3">
      <c r="A58" t="s">
        <v>65</v>
      </c>
      <c r="B58" t="s">
        <v>52</v>
      </c>
      <c r="C58">
        <v>0</v>
      </c>
      <c r="D58" t="s">
        <v>57</v>
      </c>
      <c r="E58" t="e">
        <f>IF(G63&lt;G58,(0/G62)*C62,IF(G63&gt;G61,(G62/G62)*C62,(G63-G58)/G62)*C62)</f>
        <v>#REF!</v>
      </c>
      <c r="F58" t="s">
        <v>60</v>
      </c>
      <c r="G58" s="13">
        <v>0</v>
      </c>
      <c r="H58" t="s">
        <v>60</v>
      </c>
      <c r="I58" s="13">
        <v>0</v>
      </c>
      <c r="J58" t="s">
        <v>57</v>
      </c>
      <c r="K58" t="e">
        <f>IF(I63&lt;I58,I58/I62*C62,IF(I63&gt;I61,I62/I62*C62, ((I63-I58)/I62)*C62))</f>
        <v>#REF!</v>
      </c>
    </row>
    <row r="59" spans="1:14" x14ac:dyDescent="0.3">
      <c r="B59" t="s">
        <v>53</v>
      </c>
      <c r="C59">
        <f>((G59-G58)/G62)*C62</f>
        <v>20</v>
      </c>
      <c r="D59" t="s">
        <v>51</v>
      </c>
      <c r="E59">
        <v>1</v>
      </c>
      <c r="F59" t="s">
        <v>61</v>
      </c>
      <c r="G59" s="13">
        <v>10</v>
      </c>
      <c r="H59" t="s">
        <v>61</v>
      </c>
      <c r="I59" s="13">
        <v>10</v>
      </c>
      <c r="J59" t="s">
        <v>51</v>
      </c>
      <c r="K59">
        <v>1</v>
      </c>
    </row>
    <row r="60" spans="1:14" x14ac:dyDescent="0.3">
      <c r="B60" t="s">
        <v>54</v>
      </c>
      <c r="C60">
        <f>((G60-G59)/G62)*C62</f>
        <v>30</v>
      </c>
      <c r="D60" t="s">
        <v>55</v>
      </c>
      <c r="E60" t="e">
        <f>200-(E58+E59)</f>
        <v>#REF!</v>
      </c>
      <c r="F60" t="s">
        <v>62</v>
      </c>
      <c r="G60" s="13">
        <v>25</v>
      </c>
      <c r="H60" t="s">
        <v>62</v>
      </c>
      <c r="I60" s="13">
        <v>25</v>
      </c>
      <c r="J60" t="s">
        <v>55</v>
      </c>
      <c r="K60" t="e">
        <f>200-(K58+K59)</f>
        <v>#REF!</v>
      </c>
    </row>
    <row r="61" spans="1:14" x14ac:dyDescent="0.3">
      <c r="B61" t="s">
        <v>55</v>
      </c>
      <c r="C61">
        <f>((G61-G60)/G62)*C62</f>
        <v>50</v>
      </c>
      <c r="F61" t="s">
        <v>63</v>
      </c>
      <c r="G61" s="13">
        <v>50</v>
      </c>
      <c r="H61" t="s">
        <v>63</v>
      </c>
      <c r="I61" s="13">
        <v>50</v>
      </c>
    </row>
    <row r="62" spans="1:14" x14ac:dyDescent="0.3">
      <c r="B62" t="s">
        <v>56</v>
      </c>
      <c r="C62">
        <v>100</v>
      </c>
      <c r="F62" t="s">
        <v>56</v>
      </c>
      <c r="G62" s="13">
        <f>G61-G58</f>
        <v>50</v>
      </c>
      <c r="H62" t="s">
        <v>56</v>
      </c>
      <c r="I62" s="13">
        <f>I61-I58</f>
        <v>50</v>
      </c>
      <c r="N62">
        <f>C62+C61+C60+C59+C58</f>
        <v>200</v>
      </c>
    </row>
    <row r="63" spans="1:14" x14ac:dyDescent="0.3">
      <c r="F63" t="s">
        <v>57</v>
      </c>
      <c r="G63" s="13" t="e">
        <f>' Rekenblad 1'!D19*100</f>
        <v>#REF!</v>
      </c>
      <c r="H63" t="s">
        <v>57</v>
      </c>
      <c r="I63" s="13" t="e">
        <f>' Rekenblad 1'!H19*100</f>
        <v>#REF!</v>
      </c>
    </row>
    <row r="64" spans="1:14" x14ac:dyDescent="0.3">
      <c r="A64" t="s">
        <v>66</v>
      </c>
      <c r="B64" t="s">
        <v>52</v>
      </c>
      <c r="C64">
        <v>0</v>
      </c>
      <c r="D64" t="s">
        <v>57</v>
      </c>
      <c r="E64" t="e">
        <f>IF(G69&lt;G64,(0/G68)*C68,IF(G69&gt;G67,(G68/G68)*C68,((G69-G64)/G68)*C68))</f>
        <v>#REF!</v>
      </c>
      <c r="F64" t="s">
        <v>60</v>
      </c>
      <c r="G64" s="13">
        <v>0</v>
      </c>
      <c r="H64" t="s">
        <v>60</v>
      </c>
      <c r="I64" s="13">
        <v>0</v>
      </c>
      <c r="J64" t="s">
        <v>57</v>
      </c>
      <c r="K64" t="e">
        <f>IF(I69&lt;I64,I64/I68*C68,IF(I69&gt;I67,I68/I68*C68, ((I69-I64)/I68)*C68))</f>
        <v>#REF!</v>
      </c>
    </row>
    <row r="65" spans="1:11" x14ac:dyDescent="0.3">
      <c r="B65" t="s">
        <v>53</v>
      </c>
      <c r="C65">
        <f>((G65-G64)/G68)*C68</f>
        <v>40</v>
      </c>
      <c r="D65" t="s">
        <v>51</v>
      </c>
      <c r="E65">
        <v>1</v>
      </c>
      <c r="F65" t="s">
        <v>61</v>
      </c>
      <c r="G65" s="13">
        <v>30</v>
      </c>
      <c r="H65" t="s">
        <v>61</v>
      </c>
      <c r="I65" s="13">
        <v>30</v>
      </c>
      <c r="J65" t="s">
        <v>51</v>
      </c>
      <c r="K65">
        <v>1</v>
      </c>
    </row>
    <row r="66" spans="1:11" x14ac:dyDescent="0.3">
      <c r="B66" t="s">
        <v>54</v>
      </c>
      <c r="C66">
        <f>((G66-G65)/G68)*C68</f>
        <v>20</v>
      </c>
      <c r="D66" t="s">
        <v>55</v>
      </c>
      <c r="E66" t="e">
        <f>200-(E65+E64)</f>
        <v>#REF!</v>
      </c>
      <c r="F66" t="s">
        <v>62</v>
      </c>
      <c r="G66" s="13">
        <v>45</v>
      </c>
      <c r="H66" t="s">
        <v>62</v>
      </c>
      <c r="I66" s="13">
        <v>45</v>
      </c>
      <c r="J66" t="s">
        <v>55</v>
      </c>
      <c r="K66" t="e">
        <f>200-(K65+K64)</f>
        <v>#REF!</v>
      </c>
    </row>
    <row r="67" spans="1:11" x14ac:dyDescent="0.3">
      <c r="B67" t="s">
        <v>55</v>
      </c>
      <c r="C67">
        <f>((G67-G66)/G68)*C68</f>
        <v>40</v>
      </c>
      <c r="F67" t="s">
        <v>63</v>
      </c>
      <c r="G67" s="13">
        <v>75</v>
      </c>
      <c r="H67" t="s">
        <v>63</v>
      </c>
      <c r="I67" s="13">
        <v>75</v>
      </c>
    </row>
    <row r="68" spans="1:11" x14ac:dyDescent="0.3">
      <c r="B68" t="s">
        <v>56</v>
      </c>
      <c r="C68">
        <v>100</v>
      </c>
      <c r="F68" t="s">
        <v>56</v>
      </c>
      <c r="G68" s="13">
        <f>G67-G64</f>
        <v>75</v>
      </c>
      <c r="H68" t="s">
        <v>56</v>
      </c>
      <c r="I68" s="13">
        <f>I67-I64</f>
        <v>75</v>
      </c>
    </row>
    <row r="69" spans="1:11" x14ac:dyDescent="0.3">
      <c r="F69" t="s">
        <v>57</v>
      </c>
      <c r="G69" s="13" t="e">
        <f>' Rekenblad 1'!D25*100</f>
        <v>#REF!</v>
      </c>
      <c r="H69" t="s">
        <v>57</v>
      </c>
      <c r="I69" s="13" t="e">
        <f>' Rekenblad 1'!H25*100</f>
        <v>#REF!</v>
      </c>
    </row>
    <row r="70" spans="1:11" x14ac:dyDescent="0.3">
      <c r="A70" t="s">
        <v>64</v>
      </c>
      <c r="B70" t="s">
        <v>52</v>
      </c>
      <c r="C70">
        <v>0</v>
      </c>
      <c r="D70" t="s">
        <v>57</v>
      </c>
      <c r="E70" t="e">
        <f>IF(G75&lt;G70,(0/G74)*C74,IF(G75&gt;G73,(G74/G74)*C74,((G75-G70)/G74)*C74))</f>
        <v>#REF!</v>
      </c>
      <c r="F70" t="s">
        <v>60</v>
      </c>
      <c r="G70" s="13">
        <v>0</v>
      </c>
      <c r="H70" t="s">
        <v>60</v>
      </c>
      <c r="I70" s="13">
        <v>0</v>
      </c>
      <c r="J70" t="s">
        <v>57</v>
      </c>
      <c r="K70" t="e">
        <f>IF(I75&lt;I70,I70/I74*C74,IF(I75&gt;I73,I74/I74*C74, ((I75-I70)/I74)*C74))</f>
        <v>#REF!</v>
      </c>
    </row>
    <row r="71" spans="1:11" x14ac:dyDescent="0.3">
      <c r="B71" t="s">
        <v>53</v>
      </c>
      <c r="C71">
        <f>((G71-G70)/G74)*C74</f>
        <v>63.157894736842103</v>
      </c>
      <c r="D71" t="s">
        <v>51</v>
      </c>
      <c r="E71">
        <v>1</v>
      </c>
      <c r="F71" t="s">
        <v>61</v>
      </c>
      <c r="G71" s="13">
        <v>60</v>
      </c>
      <c r="H71" t="s">
        <v>61</v>
      </c>
      <c r="I71" s="13">
        <v>60</v>
      </c>
      <c r="J71" t="s">
        <v>51</v>
      </c>
      <c r="K71">
        <v>1</v>
      </c>
    </row>
    <row r="72" spans="1:11" x14ac:dyDescent="0.3">
      <c r="B72" t="s">
        <v>54</v>
      </c>
      <c r="C72">
        <f>((G72-G71)/G74)*C74</f>
        <v>21.052631578947366</v>
      </c>
      <c r="D72" t="s">
        <v>55</v>
      </c>
      <c r="E72" t="e">
        <f>200-(E70+E71)</f>
        <v>#REF!</v>
      </c>
      <c r="F72" t="s">
        <v>62</v>
      </c>
      <c r="G72" s="13">
        <v>80</v>
      </c>
      <c r="H72" t="s">
        <v>62</v>
      </c>
      <c r="I72" s="13">
        <v>80</v>
      </c>
      <c r="J72" t="s">
        <v>55</v>
      </c>
      <c r="K72" t="e">
        <f>200-(K70+K71)</f>
        <v>#REF!</v>
      </c>
    </row>
    <row r="73" spans="1:11" x14ac:dyDescent="0.3">
      <c r="B73" t="s">
        <v>55</v>
      </c>
      <c r="C73">
        <f>((G73-G72)/G74)*C74</f>
        <v>15.789473684210526</v>
      </c>
      <c r="F73" t="s">
        <v>63</v>
      </c>
      <c r="G73" s="13">
        <v>95</v>
      </c>
      <c r="H73" t="s">
        <v>63</v>
      </c>
      <c r="I73" s="13">
        <v>95</v>
      </c>
    </row>
    <row r="74" spans="1:11" x14ac:dyDescent="0.3">
      <c r="B74" t="s">
        <v>56</v>
      </c>
      <c r="C74">
        <v>100</v>
      </c>
      <c r="F74" t="s">
        <v>56</v>
      </c>
      <c r="G74" s="13">
        <f>G73-G70</f>
        <v>95</v>
      </c>
      <c r="H74" t="s">
        <v>56</v>
      </c>
      <c r="I74" s="13">
        <f>I73-I70</f>
        <v>95</v>
      </c>
    </row>
    <row r="75" spans="1:11" x14ac:dyDescent="0.3">
      <c r="F75" t="s">
        <v>57</v>
      </c>
      <c r="G75" s="13" t="e">
        <f>' Rekenblad 1'!D27*100</f>
        <v>#REF!</v>
      </c>
      <c r="H75" t="s">
        <v>57</v>
      </c>
      <c r="I75" s="13" t="e">
        <f>' Rekenblad 1'!H27*100</f>
        <v>#REF!</v>
      </c>
    </row>
  </sheetData>
  <mergeCells count="3">
    <mergeCell ref="B3:C3"/>
    <mergeCell ref="D3:E3"/>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Welkom</vt:lpstr>
      <vt:lpstr>Info</vt:lpstr>
      <vt:lpstr>Invoer</vt:lpstr>
      <vt:lpstr>Resultaat</vt:lpstr>
      <vt:lpstr> Rekenblad 1</vt:lpstr>
      <vt:lpstr>Rekenblad 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 Wauters</dc:creator>
  <cp:lastModifiedBy>Erwin Wauters</cp:lastModifiedBy>
  <cp:lastPrinted>2016-09-08T10:20:35Z</cp:lastPrinted>
  <dcterms:created xsi:type="dcterms:W3CDTF">2016-05-24T08:36:18Z</dcterms:created>
  <dcterms:modified xsi:type="dcterms:W3CDTF">2018-06-27T11:33:28Z</dcterms:modified>
</cp:coreProperties>
</file>